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hidePivotFieldList="1" autoCompressPictures="0"/>
  <bookViews>
    <workbookView xWindow="11000" yWindow="-21800" windowWidth="20460" windowHeight="14760" tabRatio="500"/>
  </bookViews>
  <sheets>
    <sheet name="Participant Responses" sheetId="1" r:id="rId1"/>
    <sheet name="Response Totals" sheetId="3" r:id="rId2"/>
    <sheet name="Chart Responses (SIMPLE)" sheetId="4" r:id="rId3"/>
    <sheet name="Chart Responses (DETAIL)" sheetId="6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62" i="3" l="1"/>
  <c r="M162" i="3"/>
  <c r="L162" i="3"/>
  <c r="K162" i="3"/>
  <c r="J162" i="3"/>
  <c r="I162" i="3"/>
  <c r="H162" i="3"/>
  <c r="G162" i="3"/>
  <c r="F162" i="3"/>
  <c r="E162" i="3"/>
  <c r="D162" i="3"/>
  <c r="C162" i="3"/>
  <c r="B162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54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N54" i="3"/>
  <c r="M54" i="3"/>
  <c r="L54" i="3"/>
  <c r="K54" i="3"/>
  <c r="J54" i="3"/>
  <c r="I54" i="3"/>
  <c r="H54" i="3"/>
  <c r="G54" i="3"/>
  <c r="F54" i="3"/>
  <c r="E54" i="3"/>
  <c r="D54" i="3"/>
  <c r="C54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33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N33" i="3"/>
  <c r="M33" i="3"/>
  <c r="L33" i="3"/>
  <c r="K33" i="3"/>
  <c r="J33" i="3"/>
  <c r="I33" i="3"/>
  <c r="H33" i="3"/>
  <c r="G33" i="3"/>
  <c r="F33" i="3"/>
  <c r="E33" i="3"/>
  <c r="D33" i="3"/>
  <c r="C33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13" i="3"/>
  <c r="B12" i="3"/>
  <c r="B11" i="3"/>
  <c r="B10" i="3"/>
  <c r="B9" i="3"/>
  <c r="B8" i="3"/>
  <c r="B7" i="3"/>
  <c r="B6" i="3"/>
  <c r="B5" i="3"/>
  <c r="B4" i="3"/>
  <c r="B17" i="3"/>
  <c r="B16" i="3"/>
  <c r="B18" i="3"/>
</calcChain>
</file>

<file path=xl/sharedStrings.xml><?xml version="1.0" encoding="utf-8"?>
<sst xmlns="http://schemas.openxmlformats.org/spreadsheetml/2006/main" count="420" uniqueCount="73">
  <si>
    <t>0.3 Nation or Community</t>
  </si>
  <si>
    <t>0.4 Language Dialect</t>
  </si>
  <si>
    <t>By Gender</t>
  </si>
  <si>
    <t>Male</t>
  </si>
  <si>
    <t>Female</t>
  </si>
  <si>
    <t>By Age</t>
  </si>
  <si>
    <t>0-4</t>
  </si>
  <si>
    <t>15-19</t>
  </si>
  <si>
    <t>20-24</t>
  </si>
  <si>
    <t>25-44</t>
  </si>
  <si>
    <t>45-54</t>
  </si>
  <si>
    <t>55-64</t>
  </si>
  <si>
    <t>75-84</t>
  </si>
  <si>
    <t>M</t>
  </si>
  <si>
    <t>F</t>
  </si>
  <si>
    <t>Totals</t>
  </si>
  <si>
    <t>85+</t>
  </si>
  <si>
    <t>5-14</t>
  </si>
  <si>
    <t>65-74</t>
  </si>
  <si>
    <t>Elders</t>
  </si>
  <si>
    <t>Participant (random number or, if not anonymous use name or email or other contact)</t>
  </si>
  <si>
    <t>0.1 Age of participants</t>
  </si>
  <si>
    <t>0.2 Gender of participants</t>
  </si>
  <si>
    <t>0.2 Gender (m, f)</t>
  </si>
  <si>
    <t>0.1 Age (#)</t>
  </si>
  <si>
    <t>Total</t>
  </si>
  <si>
    <t>Total number of participants</t>
  </si>
  <si>
    <t>ENTER #</t>
  </si>
  <si>
    <t>1. It is important for members of our community to know their language</t>
  </si>
  <si>
    <t>1. It is important for members of our community to know their language (Enter a number of 1 to 5, from Disagree Strongly (1), Disagree Somewhat (2), Neutral (3), Agree Somewhat (4) to Agree Strongly (5))</t>
  </si>
  <si>
    <t>13. It does not matter how the language is written</t>
  </si>
  <si>
    <t>2. Our language is vital to our identity and existence as a people (Enter a number of 1 to 5)</t>
  </si>
  <si>
    <t>3. Our language is worth saving  (Enter a number of 1 to 5)</t>
  </si>
  <si>
    <t>4. Our language is difficult to learn (Enter a number of 1 to 5)</t>
  </si>
  <si>
    <t>5. Our community should work hard to teach the language to people who don’t know it (Enter a number of 1 to 5)</t>
  </si>
  <si>
    <t>6. It would be a good idea to provide classes for families on how to keep their language in use at home (Enter a number of 1 to 5)</t>
  </si>
  <si>
    <t>7. Our language should be taught in schools (Enter a number of 1 to 5)</t>
  </si>
  <si>
    <t>8. It is important that our language is encouraged and used in workplaces (Enter a number of 1 to 5)</t>
  </si>
  <si>
    <t>9. Our language should be encouraged and used in community gatherings (Enter a number of 1 to 5)</t>
  </si>
  <si>
    <t>11. It is important that our language is encouraged and used in our First Nation’s government activities (Enter a number of 1 to 5)</t>
  </si>
  <si>
    <t>13. It does not matter how the language is written (Enter a number of 1 to 5)</t>
  </si>
  <si>
    <t>14. I would be willing to assist in a language program (Enter a number of 1 to 5)</t>
  </si>
  <si>
    <t>12. Enter the RANK ONE response for the following groups in terms of the priority for providing opportunities to learn the language (children, teens, elders, students, families)</t>
  </si>
  <si>
    <t>12. Enter the RANK TWO response for the following groups in terms of the priority for providing opportunities to learn the language (children, teens, elders, students, families)</t>
  </si>
  <si>
    <t>12. Enter the RANK THREE response for the following groups in terms of the priority for providing opportunities to learn the language (children, teens, elders, students, families)</t>
  </si>
  <si>
    <t>12. Enter the RANK FOUR response for the following groups in terms of the priority for providing opportunities to learn the language (children, teens, elders, students, families)</t>
  </si>
  <si>
    <t>12. Enter the RANK FIVE response for the following groups in terms of the priority for providing opportunities to learn the language (children, teens, elders, students, families)</t>
  </si>
  <si>
    <t>1 - Disagree Strongly</t>
  </si>
  <si>
    <t>2 - Disagree Somewhat</t>
  </si>
  <si>
    <t>3 - Neutral</t>
  </si>
  <si>
    <t>4 - Agree Somewhat</t>
  </si>
  <si>
    <t>5 - Agree strongly</t>
  </si>
  <si>
    <t xml:space="preserve">2. Our language is vital to our identity and existence as a people </t>
  </si>
  <si>
    <t xml:space="preserve">3. Our language is worth saving  </t>
  </si>
  <si>
    <t>4. Our language is difficult to learn</t>
  </si>
  <si>
    <t>5. Our community should work hard to teach the language to people who don’t know it</t>
  </si>
  <si>
    <t>6. It would be a good idea to provide classes for families on how to keep their language in use at home</t>
  </si>
  <si>
    <t xml:space="preserve">7. Our language should be taught in schools </t>
  </si>
  <si>
    <t>8. It is important that our language is encouraged and used in workplaces</t>
  </si>
  <si>
    <t>9. Our language should be encouraged and used in community gatherings</t>
  </si>
  <si>
    <t>10. It is important that our language is encouraged and used in traditional or ceremonial gatherings (Enter a number of 1 to 5)</t>
  </si>
  <si>
    <t>10. It is important that our language is encouraged and used in traditional or ceremonial gatherings</t>
  </si>
  <si>
    <t>11. It is important that our language is encouraged and used in our First Nation’s government activities</t>
  </si>
  <si>
    <t xml:space="preserve">12.  RANK ONE of priority for providing opportunities to learn the language </t>
  </si>
  <si>
    <t>Children</t>
  </si>
  <si>
    <t>Teens</t>
  </si>
  <si>
    <t>Students</t>
  </si>
  <si>
    <t>Families</t>
  </si>
  <si>
    <t xml:space="preserve">12.  RANK TWO of priority for providing opportunities to learn the language </t>
  </si>
  <si>
    <t xml:space="preserve">12.  RANK THREE of priority for providing opportunities to learn the language </t>
  </si>
  <si>
    <t xml:space="preserve">12.  RANK FOUR of priority for providing opportunities to learn the language </t>
  </si>
  <si>
    <t xml:space="preserve">12.  RANK FIVE of priority for providing opportunities to learn the language </t>
  </si>
  <si>
    <t>14. I would be willing to assist in a language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</si>
</sst>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0" borderId="1" xfId="0" quotePrefix="1" applyBorder="1"/>
    <xf numFmtId="49" fontId="0" fillId="0" borderId="1" xfId="0" applyNumberFormat="1" applyBorder="1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wrapText="1"/>
    </xf>
    <xf numFmtId="49" fontId="0" fillId="0" borderId="5" xfId="0" applyNumberFormat="1" applyBorder="1"/>
    <xf numFmtId="0" fontId="0" fillId="0" borderId="3" xfId="0" quotePrefix="1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6" xfId="0" applyBorder="1"/>
    <xf numFmtId="49" fontId="0" fillId="0" borderId="4" xfId="0" applyNumberFormat="1" applyBorder="1"/>
    <xf numFmtId="0" fontId="0" fillId="0" borderId="4" xfId="0" applyBorder="1"/>
    <xf numFmtId="49" fontId="0" fillId="0" borderId="2" xfId="0" applyNumberFormat="1" applyBorder="1"/>
    <xf numFmtId="0" fontId="0" fillId="0" borderId="2" xfId="0" applyBorder="1"/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49" fontId="0" fillId="0" borderId="9" xfId="0" applyNumberFormat="1" applyBorder="1"/>
    <xf numFmtId="0" fontId="0" fillId="0" borderId="9" xfId="0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wrapText="1"/>
    </xf>
  </cellXfs>
  <cellStyles count="2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0.1 Age of Language Assessment Survey participants</c:v>
          </c:tx>
          <c:invertIfNegative val="0"/>
          <c:cat>
            <c:strRef>
              <c:f>'Response Totals'!$A$4:$A$13</c:f>
              <c:strCache>
                <c:ptCount val="10"/>
                <c:pt idx="0">
                  <c:v>0-4</c:v>
                </c:pt>
                <c:pt idx="1">
                  <c:v>5-14</c:v>
                </c:pt>
                <c:pt idx="2">
                  <c:v>15-19</c:v>
                </c:pt>
                <c:pt idx="3">
                  <c:v>20-24</c:v>
                </c:pt>
                <c:pt idx="4">
                  <c:v>25-44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75-84</c:v>
                </c:pt>
                <c:pt idx="9">
                  <c:v>85+</c:v>
                </c:pt>
              </c:strCache>
            </c:strRef>
          </c:cat>
          <c:val>
            <c:numRef>
              <c:f>'Response Totals'!$B$4:$B$13</c:f>
              <c:numCache>
                <c:formatCode>General</c:formatCode>
                <c:ptCount val="1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9833272"/>
        <c:axId val="-2079830328"/>
      </c:barChart>
      <c:catAx>
        <c:axId val="-20798332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9830328"/>
        <c:crosses val="autoZero"/>
        <c:auto val="1"/>
        <c:lblAlgn val="ctr"/>
        <c:lblOffset val="100"/>
        <c:noMultiLvlLbl val="0"/>
      </c:catAx>
      <c:valAx>
        <c:axId val="-2079830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9833272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Totals'!$A$76</c:f>
              <c:strCache>
                <c:ptCount val="1"/>
                <c:pt idx="0">
                  <c:v>8. It is important that our language is encouraged and used in workplaces</c:v>
                </c:pt>
              </c:strCache>
            </c:strRef>
          </c:tx>
          <c:invertIfNegative val="0"/>
          <c:cat>
            <c:strRef>
              <c:f>'Response Totals'!$A$78:$A$82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Totals'!$B$78:$B$82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900712"/>
        <c:axId val="-2113870536"/>
      </c:barChart>
      <c:catAx>
        <c:axId val="-21139007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3870536"/>
        <c:crosses val="autoZero"/>
        <c:auto val="1"/>
        <c:lblAlgn val="ctr"/>
        <c:lblOffset val="100"/>
        <c:noMultiLvlLbl val="0"/>
      </c:catAx>
      <c:valAx>
        <c:axId val="-2113870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3900712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Totals'!$A$84</c:f>
              <c:strCache>
                <c:ptCount val="1"/>
                <c:pt idx="0">
                  <c:v>9. Our language should be encouraged and used in community gatherings</c:v>
                </c:pt>
              </c:strCache>
            </c:strRef>
          </c:tx>
          <c:invertIfNegative val="0"/>
          <c:cat>
            <c:strRef>
              <c:f>'Response Totals'!$A$86:$A$90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Totals'!$B$86:$B$90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8666504"/>
        <c:axId val="-2113868376"/>
      </c:barChart>
      <c:catAx>
        <c:axId val="-20886665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3868376"/>
        <c:crosses val="autoZero"/>
        <c:auto val="1"/>
        <c:lblAlgn val="ctr"/>
        <c:lblOffset val="100"/>
        <c:noMultiLvlLbl val="0"/>
      </c:catAx>
      <c:valAx>
        <c:axId val="-2113868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8666504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Totals'!$A$92</c:f>
              <c:strCache>
                <c:ptCount val="1"/>
                <c:pt idx="0">
                  <c:v>10. It is important that our language is encouraged and used in traditional or ceremonial gatherings</c:v>
                </c:pt>
              </c:strCache>
            </c:strRef>
          </c:tx>
          <c:invertIfNegative val="0"/>
          <c:cat>
            <c:strRef>
              <c:f>'Response Totals'!$A$94:$A$98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Totals'!$B$94:$B$98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604008"/>
        <c:axId val="-2111760040"/>
      </c:barChart>
      <c:catAx>
        <c:axId val="21456040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1760040"/>
        <c:crosses val="autoZero"/>
        <c:auto val="1"/>
        <c:lblAlgn val="ctr"/>
        <c:lblOffset val="100"/>
        <c:noMultiLvlLbl val="0"/>
      </c:catAx>
      <c:valAx>
        <c:axId val="-2111760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5604008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Totals'!$A$100</c:f>
              <c:strCache>
                <c:ptCount val="1"/>
                <c:pt idx="0">
                  <c:v>11. It is important that our language is encouraged and used in our First Nation’s government activities</c:v>
                </c:pt>
              </c:strCache>
            </c:strRef>
          </c:tx>
          <c:invertIfNegative val="0"/>
          <c:cat>
            <c:strRef>
              <c:f>'Response Totals'!$A$102:$A$106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Totals'!$B$102:$B$106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754968"/>
        <c:axId val="-2082681672"/>
      </c:barChart>
      <c:catAx>
        <c:axId val="-211375496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2681672"/>
        <c:crosses val="autoZero"/>
        <c:auto val="1"/>
        <c:lblAlgn val="ctr"/>
        <c:lblOffset val="100"/>
        <c:noMultiLvlLbl val="0"/>
      </c:catAx>
      <c:valAx>
        <c:axId val="-2082681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3754968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Totals'!$A$108</c:f>
              <c:strCache>
                <c:ptCount val="1"/>
                <c:pt idx="0">
                  <c:v>12.  RANK ONE of priority for providing opportunities to learn the language </c:v>
                </c:pt>
              </c:strCache>
            </c:strRef>
          </c:tx>
          <c:invertIfNegative val="0"/>
          <c:cat>
            <c:strRef>
              <c:f>'Response Totals'!$A$110:$A$114</c:f>
              <c:strCache>
                <c:ptCount val="5"/>
                <c:pt idx="0">
                  <c:v>Children</c:v>
                </c:pt>
                <c:pt idx="1">
                  <c:v>Teens</c:v>
                </c:pt>
                <c:pt idx="2">
                  <c:v>Elders</c:v>
                </c:pt>
                <c:pt idx="3">
                  <c:v>Students</c:v>
                </c:pt>
                <c:pt idx="4">
                  <c:v>Families</c:v>
                </c:pt>
              </c:strCache>
            </c:strRef>
          </c:cat>
          <c:val>
            <c:numRef>
              <c:f>'Response Totals'!$B$110:$B$114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4233608"/>
        <c:axId val="-2078533880"/>
      </c:barChart>
      <c:catAx>
        <c:axId val="-20942336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8533880"/>
        <c:crosses val="autoZero"/>
        <c:auto val="1"/>
        <c:lblAlgn val="ctr"/>
        <c:lblOffset val="100"/>
        <c:noMultiLvlLbl val="0"/>
      </c:catAx>
      <c:valAx>
        <c:axId val="-2078533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4233608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Totals'!$A$116</c:f>
              <c:strCache>
                <c:ptCount val="1"/>
                <c:pt idx="0">
                  <c:v>12.  RANK TWO of priority for providing opportunities to learn the language </c:v>
                </c:pt>
              </c:strCache>
            </c:strRef>
          </c:tx>
          <c:invertIfNegative val="0"/>
          <c:cat>
            <c:strRef>
              <c:f>'Response Totals'!$A$118:$A$122</c:f>
              <c:strCache>
                <c:ptCount val="5"/>
                <c:pt idx="0">
                  <c:v>Children</c:v>
                </c:pt>
                <c:pt idx="1">
                  <c:v>Teens</c:v>
                </c:pt>
                <c:pt idx="2">
                  <c:v>Elders</c:v>
                </c:pt>
                <c:pt idx="3">
                  <c:v>Students</c:v>
                </c:pt>
                <c:pt idx="4">
                  <c:v>Families</c:v>
                </c:pt>
              </c:strCache>
            </c:strRef>
          </c:cat>
          <c:val>
            <c:numRef>
              <c:f>'Response Totals'!$B$118:$B$122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9450232"/>
        <c:axId val="-2110391272"/>
      </c:barChart>
      <c:catAx>
        <c:axId val="-210945023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0391272"/>
        <c:crosses val="autoZero"/>
        <c:auto val="1"/>
        <c:lblAlgn val="ctr"/>
        <c:lblOffset val="100"/>
        <c:noMultiLvlLbl val="0"/>
      </c:catAx>
      <c:valAx>
        <c:axId val="-2110391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9450232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Totals'!$A$124</c:f>
              <c:strCache>
                <c:ptCount val="1"/>
                <c:pt idx="0">
                  <c:v>12.  RANK THREE of priority for providing opportunities to learn the language </c:v>
                </c:pt>
              </c:strCache>
            </c:strRef>
          </c:tx>
          <c:invertIfNegative val="0"/>
          <c:cat>
            <c:strRef>
              <c:f>'Response Totals'!$A$126:$A$130</c:f>
              <c:strCache>
                <c:ptCount val="5"/>
                <c:pt idx="0">
                  <c:v>Children</c:v>
                </c:pt>
                <c:pt idx="1">
                  <c:v>Teens</c:v>
                </c:pt>
                <c:pt idx="2">
                  <c:v>Elders</c:v>
                </c:pt>
                <c:pt idx="3">
                  <c:v>Students</c:v>
                </c:pt>
                <c:pt idx="4">
                  <c:v>Families</c:v>
                </c:pt>
              </c:strCache>
            </c:strRef>
          </c:cat>
          <c:val>
            <c:numRef>
              <c:f>'Response Totals'!$B$126:$B$130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5844984"/>
        <c:axId val="-2109637944"/>
      </c:barChart>
      <c:catAx>
        <c:axId val="-207584498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9637944"/>
        <c:crosses val="autoZero"/>
        <c:auto val="1"/>
        <c:lblAlgn val="ctr"/>
        <c:lblOffset val="100"/>
        <c:noMultiLvlLbl val="0"/>
      </c:catAx>
      <c:valAx>
        <c:axId val="-2109637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5844984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Totals'!$A$132</c:f>
              <c:strCache>
                <c:ptCount val="1"/>
                <c:pt idx="0">
                  <c:v>12.  RANK FOUR of priority for providing opportunities to learn the language </c:v>
                </c:pt>
              </c:strCache>
            </c:strRef>
          </c:tx>
          <c:invertIfNegative val="0"/>
          <c:cat>
            <c:strRef>
              <c:f>'Response Totals'!$A$134:$A$138</c:f>
              <c:strCache>
                <c:ptCount val="5"/>
                <c:pt idx="0">
                  <c:v>Children</c:v>
                </c:pt>
                <c:pt idx="1">
                  <c:v>Teens</c:v>
                </c:pt>
                <c:pt idx="2">
                  <c:v>Elders</c:v>
                </c:pt>
                <c:pt idx="3">
                  <c:v>Students</c:v>
                </c:pt>
                <c:pt idx="4">
                  <c:v>Families</c:v>
                </c:pt>
              </c:strCache>
            </c:strRef>
          </c:cat>
          <c:val>
            <c:numRef>
              <c:f>'Response Totals'!$B$134:$B$138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8133352"/>
        <c:axId val="-2083413992"/>
      </c:barChart>
      <c:catAx>
        <c:axId val="-207813335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3413992"/>
        <c:crosses val="autoZero"/>
        <c:auto val="1"/>
        <c:lblAlgn val="ctr"/>
        <c:lblOffset val="100"/>
        <c:noMultiLvlLbl val="0"/>
      </c:catAx>
      <c:valAx>
        <c:axId val="-2083413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8133352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Totals'!$A$140</c:f>
              <c:strCache>
                <c:ptCount val="1"/>
                <c:pt idx="0">
                  <c:v>12.  RANK FIVE of priority for providing opportunities to learn the language </c:v>
                </c:pt>
              </c:strCache>
            </c:strRef>
          </c:tx>
          <c:invertIfNegative val="0"/>
          <c:cat>
            <c:strRef>
              <c:f>'Response Totals'!$A$142:$A$146</c:f>
              <c:strCache>
                <c:ptCount val="5"/>
                <c:pt idx="0">
                  <c:v>Children</c:v>
                </c:pt>
                <c:pt idx="1">
                  <c:v>Teens</c:v>
                </c:pt>
                <c:pt idx="2">
                  <c:v>Elders</c:v>
                </c:pt>
                <c:pt idx="3">
                  <c:v>Students</c:v>
                </c:pt>
                <c:pt idx="4">
                  <c:v>Families</c:v>
                </c:pt>
              </c:strCache>
            </c:strRef>
          </c:cat>
          <c:val>
            <c:numRef>
              <c:f>'Response Totals'!$B$142:$B$146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7086472"/>
        <c:axId val="-2083425032"/>
      </c:barChart>
      <c:catAx>
        <c:axId val="-20970864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3425032"/>
        <c:crosses val="autoZero"/>
        <c:auto val="1"/>
        <c:lblAlgn val="ctr"/>
        <c:lblOffset val="100"/>
        <c:noMultiLvlLbl val="0"/>
      </c:catAx>
      <c:valAx>
        <c:axId val="-2083425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7086472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Totals'!$A$148</c:f>
              <c:strCache>
                <c:ptCount val="1"/>
                <c:pt idx="0">
                  <c:v>13. It does not matter how the language is written</c:v>
                </c:pt>
              </c:strCache>
            </c:strRef>
          </c:tx>
          <c:invertIfNegative val="0"/>
          <c:cat>
            <c:strRef>
              <c:f>'Response Totals'!$A$150:$A$154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Totals'!$B$150:$B$154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5519800"/>
        <c:axId val="-2083399560"/>
      </c:barChart>
      <c:catAx>
        <c:axId val="-209551980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3399560"/>
        <c:crosses val="autoZero"/>
        <c:auto val="1"/>
        <c:lblAlgn val="ctr"/>
        <c:lblOffset val="100"/>
        <c:noMultiLvlLbl val="0"/>
      </c:catAx>
      <c:valAx>
        <c:axId val="-2083399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5519800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0.2 Gender of Language Assessment Survey participants</c:v>
          </c:tx>
          <c:invertIfNegative val="0"/>
          <c:cat>
            <c:strRef>
              <c:f>'Response Totals'!$A$16:$A$17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'Response Totals'!$B$16:$B$17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663960"/>
        <c:axId val="2139147528"/>
      </c:barChart>
      <c:catAx>
        <c:axId val="2109663960"/>
        <c:scaling>
          <c:orientation val="minMax"/>
        </c:scaling>
        <c:delete val="0"/>
        <c:axPos val="b"/>
        <c:majorTickMark val="out"/>
        <c:minorTickMark val="none"/>
        <c:tickLblPos val="nextTo"/>
        <c:crossAx val="2139147528"/>
        <c:crosses val="autoZero"/>
        <c:auto val="1"/>
        <c:lblAlgn val="ctr"/>
        <c:lblOffset val="100"/>
        <c:noMultiLvlLbl val="0"/>
      </c:catAx>
      <c:valAx>
        <c:axId val="2139147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663960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Totals'!$A$156</c:f>
              <c:strCache>
                <c:ptCount val="1"/>
                <c:pt idx="0">
                  <c:v>14. I would be willing to assist in a language program</c:v>
                </c:pt>
              </c:strCache>
            </c:strRef>
          </c:tx>
          <c:invertIfNegative val="0"/>
          <c:cat>
            <c:strRef>
              <c:f>'Response Totals'!$A$158:$A$162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Totals'!$B$158:$B$162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8223080"/>
        <c:axId val="-2077828008"/>
      </c:barChart>
      <c:catAx>
        <c:axId val="-210822308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7828008"/>
        <c:crosses val="autoZero"/>
        <c:auto val="1"/>
        <c:lblAlgn val="ctr"/>
        <c:lblOffset val="100"/>
        <c:noMultiLvlLbl val="0"/>
      </c:catAx>
      <c:valAx>
        <c:axId val="-2077828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8223080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0.1 Age of Language Assessment Survey participants</c:v>
          </c:tx>
          <c:invertIfNegative val="0"/>
          <c:cat>
            <c:strRef>
              <c:f>'Response Totals'!$A$4:$A$13</c:f>
              <c:strCache>
                <c:ptCount val="10"/>
                <c:pt idx="0">
                  <c:v>0-4</c:v>
                </c:pt>
                <c:pt idx="1">
                  <c:v>5-14</c:v>
                </c:pt>
                <c:pt idx="2">
                  <c:v>15-19</c:v>
                </c:pt>
                <c:pt idx="3">
                  <c:v>20-24</c:v>
                </c:pt>
                <c:pt idx="4">
                  <c:v>25-44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75-84</c:v>
                </c:pt>
                <c:pt idx="9">
                  <c:v>85+</c:v>
                </c:pt>
              </c:strCache>
            </c:strRef>
          </c:cat>
          <c:val>
            <c:numRef>
              <c:f>'Response Totals'!$B$4:$B$13</c:f>
              <c:numCache>
                <c:formatCode>General</c:formatCode>
                <c:ptCount val="1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035880"/>
        <c:axId val="-2112297640"/>
      </c:barChart>
      <c:catAx>
        <c:axId val="-2112035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12297640"/>
        <c:crosses val="autoZero"/>
        <c:auto val="1"/>
        <c:lblAlgn val="ctr"/>
        <c:lblOffset val="100"/>
        <c:noMultiLvlLbl val="0"/>
      </c:catAx>
      <c:valAx>
        <c:axId val="-2112297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035880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0.2 Gender of Language Assessment Survey participants</c:v>
          </c:tx>
          <c:invertIfNegative val="0"/>
          <c:cat>
            <c:strRef>
              <c:f>'Response Totals'!$A$16:$A$17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'Response Totals'!$B$16:$B$17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8720776"/>
        <c:axId val="-2078717832"/>
      </c:barChart>
      <c:catAx>
        <c:axId val="-207872077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8717832"/>
        <c:crosses val="autoZero"/>
        <c:auto val="1"/>
        <c:lblAlgn val="ctr"/>
        <c:lblOffset val="100"/>
        <c:noMultiLvlLbl val="0"/>
      </c:catAx>
      <c:valAx>
        <c:axId val="-2078717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78720776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1. It is important for members of our community to know their language</a:t>
            </a:r>
            <a:r>
              <a:rPr lang="en-US" sz="1800" b="1" i="0" u="none" strike="noStrike" baseline="0"/>
              <a:t> </a:t>
            </a:r>
            <a:endParaRPr lang="en-US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Totals'!$E$21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Totals'!$E$22:$E$26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Totals'!$F$21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Totals'!$F$22:$F$26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Totals'!$G$21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Totals'!$G$22:$G$26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Totals'!$H$21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Totals'!$H$22:$H$26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Totals'!$I$21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Totals'!$I$22:$I$26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Totals'!$J$21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Totals'!$J$22:$J$26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Totals'!$K$21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Totals'!$K$22:$K$26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Totals'!$L$21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Totals'!$L$22:$L$26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Totals'!$M$21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Totals'!$M$22:$M$26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Totals'!$N$21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Totals'!$A$22:$B$26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Totals'!$N$22:$N$26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594520"/>
        <c:axId val="-2107018008"/>
      </c:barChart>
      <c:catAx>
        <c:axId val="-20775945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7018008"/>
        <c:crosses val="autoZero"/>
        <c:auto val="1"/>
        <c:lblAlgn val="ctr"/>
        <c:lblOffset val="100"/>
        <c:noMultiLvlLbl val="0"/>
      </c:catAx>
      <c:valAx>
        <c:axId val="-2107018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7594520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2. Our language is vital to our identity and existence as a people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Totals'!$E$29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Totals'!$E$30:$E$34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Totals'!$F$29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Totals'!$F$30:$F$34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Totals'!$G$29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Totals'!$G$30:$G$34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Totals'!$H$29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Totals'!$H$30:$H$34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Totals'!$I$29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Totals'!$I$30:$I$34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Totals'!$J$29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Totals'!$J$30:$J$34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Totals'!$K$29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Totals'!$K$30:$K$34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Totals'!$L$29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Totals'!$L$30:$L$34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Totals'!$M$29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Totals'!$M$30:$M$34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Totals'!$N$29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Totals'!$A$30:$B$34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Totals'!$N$30:$N$34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6887016"/>
        <c:axId val="-2086784568"/>
      </c:barChart>
      <c:catAx>
        <c:axId val="-20868870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6784568"/>
        <c:crosses val="autoZero"/>
        <c:auto val="1"/>
        <c:lblAlgn val="ctr"/>
        <c:lblOffset val="100"/>
        <c:noMultiLvlLbl val="0"/>
      </c:catAx>
      <c:valAx>
        <c:axId val="-2086784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6887016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3. Our language is worth saving 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Totals'!$E$37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Totals'!$E$38:$E$42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Totals'!$F$37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Totals'!$F$38:$F$42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Totals'!$G$37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Totals'!$G$38:$G$42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Totals'!$H$37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Totals'!$H$38:$H$42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Totals'!$I$37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Totals'!$I$38:$I$42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Totals'!$J$37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Totals'!$J$38:$J$42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Totals'!$K$37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Totals'!$K$38:$K$42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Totals'!$L$37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Totals'!$L$38:$L$42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Totals'!$M$37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Totals'!$M$38:$M$42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Totals'!$N$37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Totals'!$A$38:$B$42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Totals'!$N$38:$N$42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5466648"/>
        <c:axId val="2138962744"/>
      </c:barChart>
      <c:catAx>
        <c:axId val="-2075466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38962744"/>
        <c:crosses val="autoZero"/>
        <c:auto val="1"/>
        <c:lblAlgn val="ctr"/>
        <c:lblOffset val="100"/>
        <c:noMultiLvlLbl val="0"/>
      </c:catAx>
      <c:valAx>
        <c:axId val="2138962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5466648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4. Our language is difficult to learn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Totals'!$E$45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Totals'!$E$46:$E$50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Totals'!$F$45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Totals'!$F$46:$F$50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Totals'!$G$45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Totals'!$G$46:$G$50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Totals'!$H$45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Totals'!$H$46:$H$50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Totals'!$I$45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Totals'!$I$46:$I$50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Totals'!$J$45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Totals'!$J$46:$J$50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Totals'!$K$45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Totals'!$K$46:$K$50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Totals'!$L$45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Totals'!$L$46:$L$50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Totals'!$M$45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Totals'!$M$46:$M$50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Totals'!$N$45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Totals'!$A$46:$B$50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Totals'!$N$46:$N$50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0129656"/>
        <c:axId val="-2084010792"/>
      </c:barChart>
      <c:catAx>
        <c:axId val="-208012965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4010792"/>
        <c:crosses val="autoZero"/>
        <c:auto val="1"/>
        <c:lblAlgn val="ctr"/>
        <c:lblOffset val="100"/>
        <c:noMultiLvlLbl val="0"/>
      </c:catAx>
      <c:valAx>
        <c:axId val="-2084010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0129656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5. Our community should work hard to teach the language to people who don’t know it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Totals'!$E$53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Totals'!$E$54:$E$58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Totals'!$F$53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Totals'!$F$54:$F$58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Totals'!$G$53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Totals'!$G$54:$G$58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Totals'!$H$53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Totals'!$H$54:$H$58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Totals'!$I$53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Totals'!$I$54:$I$58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Totals'!$J$53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Totals'!$J$54:$J$58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Totals'!$K$53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Totals'!$K$54:$K$58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Totals'!$L$53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Totals'!$L$54:$L$58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Totals'!$M$53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Totals'!$M$54:$M$58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Totals'!$N$53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Totals'!$A$54:$B$58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Totals'!$N$54:$N$58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105992"/>
        <c:axId val="-2086139208"/>
      </c:barChart>
      <c:catAx>
        <c:axId val="-20771059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6139208"/>
        <c:crosses val="autoZero"/>
        <c:auto val="1"/>
        <c:lblAlgn val="ctr"/>
        <c:lblOffset val="100"/>
        <c:noMultiLvlLbl val="0"/>
      </c:catAx>
      <c:valAx>
        <c:axId val="-2086139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7105992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6. It would be a good idea to provide classes for families on how to keep their language in use at home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Totals'!$E$61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Totals'!$E$62:$E$66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Totals'!$F$61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Totals'!$F$62:$F$66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Totals'!$G$61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Totals'!$G$62:$G$66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Totals'!$H$61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Totals'!$H$62:$H$66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Totals'!$I$61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Totals'!$I$62:$I$66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Totals'!$J$61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Totals'!$J$62:$J$66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Totals'!$K$61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Totals'!$K$62:$K$66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Totals'!$L$61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Totals'!$L$62:$L$66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Totals'!$M$61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Totals'!$M$62:$M$66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Totals'!$N$61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Totals'!$A$62:$B$66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Totals'!$N$62:$N$66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374632"/>
        <c:axId val="-2108914088"/>
      </c:barChart>
      <c:catAx>
        <c:axId val="-211037463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8914088"/>
        <c:crosses val="autoZero"/>
        <c:auto val="1"/>
        <c:lblAlgn val="ctr"/>
        <c:lblOffset val="100"/>
        <c:noMultiLvlLbl val="0"/>
      </c:catAx>
      <c:valAx>
        <c:axId val="-2108914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0374632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7. Our language should be taught in schools 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Totals'!$E$69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Totals'!$E$70:$E$74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Totals'!$F$69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Totals'!$F$70:$F$74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Totals'!$G$69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Totals'!$G$70:$G$74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Totals'!$H$69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Totals'!$H$70:$H$74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Totals'!$I$69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Totals'!$I$70:$I$74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Totals'!$J$69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Totals'!$J$70:$J$74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Totals'!$K$69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Totals'!$K$70:$K$74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Totals'!$L$69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Totals'!$L$70:$L$74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Totals'!$M$69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Totals'!$M$70:$M$74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Totals'!$N$69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Totals'!$A$70:$B$74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Totals'!$N$70:$N$74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6950488"/>
        <c:axId val="-2090963160"/>
      </c:barChart>
      <c:catAx>
        <c:axId val="-20869504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0963160"/>
        <c:crosses val="autoZero"/>
        <c:auto val="1"/>
        <c:lblAlgn val="ctr"/>
        <c:lblOffset val="100"/>
        <c:noMultiLvlLbl val="0"/>
      </c:catAx>
      <c:valAx>
        <c:axId val="-2090963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6950488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Totals'!$A$20</c:f>
              <c:strCache>
                <c:ptCount val="1"/>
                <c:pt idx="0">
                  <c:v>1. It is important for members of our community to know their language</c:v>
                </c:pt>
              </c:strCache>
            </c:strRef>
          </c:tx>
          <c:invertIfNegative val="0"/>
          <c:cat>
            <c:strRef>
              <c:f>'Response Totals'!$A$22:$A$26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Totals'!$B$22:$B$26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721144"/>
        <c:axId val="-2111088536"/>
      </c:barChart>
      <c:catAx>
        <c:axId val="214572114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1088536"/>
        <c:crosses val="autoZero"/>
        <c:auto val="1"/>
        <c:lblAlgn val="ctr"/>
        <c:lblOffset val="100"/>
        <c:noMultiLvlLbl val="0"/>
      </c:catAx>
      <c:valAx>
        <c:axId val="-2111088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5721144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8. It is important that our language is encouraged and used in workplaces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Totals'!$E$77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Totals'!$E$78:$E$82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Totals'!$F$77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Totals'!$F$78:$F$82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Totals'!$G$77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Totals'!$G$78:$G$82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Totals'!$H$77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Totals'!$H$78:$H$82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Totals'!$I$77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Totals'!$I$78:$I$82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Totals'!$J$77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Totals'!$J$78:$J$82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Totals'!$K$77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Totals'!$K$78:$K$82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Totals'!$L$77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Totals'!$L$78:$L$82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Totals'!$M$77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Totals'!$M$78:$M$82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Totals'!$N$77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Totals'!$A$78:$B$82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Totals'!$N$78:$N$82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191256"/>
        <c:axId val="-2088781768"/>
      </c:barChart>
      <c:catAx>
        <c:axId val="-207719125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8781768"/>
        <c:crosses val="autoZero"/>
        <c:auto val="1"/>
        <c:lblAlgn val="ctr"/>
        <c:lblOffset val="100"/>
        <c:noMultiLvlLbl val="0"/>
      </c:catAx>
      <c:valAx>
        <c:axId val="-2088781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7191256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9. Our language should be encouraged and used in community gatherings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Totals'!$E$85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Totals'!$E$86:$E$90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Totals'!$F$85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Totals'!$F$86:$F$90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Totals'!$G$85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Totals'!$G$86:$G$90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Totals'!$H$85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Totals'!$H$86:$H$90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Totals'!$I$85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Totals'!$I$86:$I$90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Totals'!$J$85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Totals'!$J$86:$J$90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Totals'!$K$85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Totals'!$K$86:$K$90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Totals'!$L$85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Totals'!$L$86:$L$90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Totals'!$M$85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Totals'!$M$86:$M$90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Totals'!$N$85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Totals'!$A$86:$B$90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Totals'!$N$86:$N$90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1624824"/>
        <c:axId val="-2087701784"/>
      </c:barChart>
      <c:catAx>
        <c:axId val="-209162482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7701784"/>
        <c:crosses val="autoZero"/>
        <c:auto val="1"/>
        <c:lblAlgn val="ctr"/>
        <c:lblOffset val="100"/>
        <c:noMultiLvlLbl val="0"/>
      </c:catAx>
      <c:valAx>
        <c:axId val="-2087701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1624824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10. It is important that our language is encouraged and used in traditional or ceremonial gatherings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Totals'!$E$93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Totals'!$E$94:$E$98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Totals'!$F$93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Totals'!$F$94:$F$98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Totals'!$G$93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Totals'!$G$94:$G$98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Totals'!$H$93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Totals'!$H$94:$H$98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Totals'!$I$93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Totals'!$I$94:$I$98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Totals'!$J$93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Totals'!$J$94:$J$98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Totals'!$K$93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Totals'!$K$94:$K$98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Totals'!$L$93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Totals'!$L$94:$L$98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Totals'!$M$93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Totals'!$M$94:$M$98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Totals'!$N$93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Totals'!$A$94:$B$98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Totals'!$N$94:$N$98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492776"/>
        <c:axId val="-2093145528"/>
      </c:barChart>
      <c:catAx>
        <c:axId val="-207749277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3145528"/>
        <c:crosses val="autoZero"/>
        <c:auto val="1"/>
        <c:lblAlgn val="ctr"/>
        <c:lblOffset val="100"/>
        <c:noMultiLvlLbl val="0"/>
      </c:catAx>
      <c:valAx>
        <c:axId val="-2093145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7492776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11. It is important that our language is encouraged and used in our First Nation’s government activities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Totals'!$E$101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Totals'!$E$102:$E$106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Totals'!$F$101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Totals'!$F$102:$F$106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Totals'!$G$101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Totals'!$G$102:$G$106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Totals'!$H$101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Totals'!$H$102:$H$106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Totals'!$I$101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Totals'!$I$102:$I$106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Totals'!$J$101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Totals'!$J$102:$J$106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Totals'!$K$101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Totals'!$K$102:$K$106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Totals'!$L$101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Totals'!$L$102:$L$106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Totals'!$M$101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Totals'!$M$102:$M$106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Totals'!$N$101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Totals'!$A$102:$B$106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1 - Disagree Strongly</c:v>
                  </c:pt>
                  <c:pt idx="1">
                    <c:v>2 - Disagree Somewhat</c:v>
                  </c:pt>
                  <c:pt idx="2">
                    <c:v>3 - Neutral</c:v>
                  </c:pt>
                  <c:pt idx="3">
                    <c:v>4 - Agree Somewhat</c:v>
                  </c:pt>
                  <c:pt idx="4">
                    <c:v>5 - Agree strongly</c:v>
                  </c:pt>
                </c:lvl>
              </c:multiLvlStrCache>
            </c:multiLvlStrRef>
          </c:cat>
          <c:val>
            <c:numRef>
              <c:f>'Response Totals'!$N$102:$N$106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955016"/>
        <c:axId val="2138953928"/>
      </c:barChart>
      <c:catAx>
        <c:axId val="2138955016"/>
        <c:scaling>
          <c:orientation val="minMax"/>
        </c:scaling>
        <c:delete val="0"/>
        <c:axPos val="b"/>
        <c:majorTickMark val="out"/>
        <c:minorTickMark val="none"/>
        <c:tickLblPos val="nextTo"/>
        <c:crossAx val="2138953928"/>
        <c:crosses val="autoZero"/>
        <c:auto val="1"/>
        <c:lblAlgn val="ctr"/>
        <c:lblOffset val="100"/>
        <c:noMultiLvlLbl val="0"/>
      </c:catAx>
      <c:valAx>
        <c:axId val="2138953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8955016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12.  RANK ONE of priority for providing opportunities to learn the language 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Totals'!$E$109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Totals'!$E$110:$E$114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Totals'!$F$109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Totals'!$F$110:$F$114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Totals'!$G$109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Totals'!$G$110:$G$114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Totals'!$H$109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Totals'!$H$110:$H$114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Totals'!$I$109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Totals'!$I$110:$I$114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Totals'!$J$109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Totals'!$J$110:$J$114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Totals'!$K$109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Totals'!$K$110:$K$114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Totals'!$L$109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Totals'!$L$110:$L$114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Totals'!$M$109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Totals'!$M$110:$M$114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Totals'!$N$109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Totals'!$A$110:$B$114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Totals'!$N$110:$N$114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0665240"/>
        <c:axId val="-2080676584"/>
      </c:barChart>
      <c:catAx>
        <c:axId val="-20806652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0676584"/>
        <c:crosses val="autoZero"/>
        <c:auto val="1"/>
        <c:lblAlgn val="ctr"/>
        <c:lblOffset val="100"/>
        <c:noMultiLvlLbl val="0"/>
      </c:catAx>
      <c:valAx>
        <c:axId val="-2080676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0665240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12.  RANK TWO of priority for providing opportunities to learn the language 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Totals'!$E$117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Totals'!$E$118:$E$122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Totals'!$F$117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Totals'!$F$118:$F$122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Totals'!$G$117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Totals'!$G$118:$G$122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Totals'!$H$117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Totals'!$H$118:$H$122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Totals'!$I$117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Totals'!$I$118:$I$122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Totals'!$J$117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Totals'!$J$118:$J$122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Totals'!$K$117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Totals'!$K$118:$K$122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Totals'!$L$117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Totals'!$L$118:$L$122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Totals'!$M$117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Totals'!$M$118:$M$122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Totals'!$N$117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Totals'!$A$118:$B$122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Totals'!$N$118:$N$122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4810760"/>
        <c:axId val="-2080930824"/>
      </c:barChart>
      <c:catAx>
        <c:axId val="-20748107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0930824"/>
        <c:crosses val="autoZero"/>
        <c:auto val="1"/>
        <c:lblAlgn val="ctr"/>
        <c:lblOffset val="100"/>
        <c:noMultiLvlLbl val="0"/>
      </c:catAx>
      <c:valAx>
        <c:axId val="-2080930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4810760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12.  RANK THREE of priority for providing opportunities to learn the language 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Totals'!$E$125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Totals'!$E$126:$E$130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Totals'!$F$125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Totals'!$F$126:$F$130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Totals'!$G$125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Totals'!$G$126:$G$130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Totals'!$H$125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Totals'!$H$126:$H$130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Totals'!$I$125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Totals'!$I$126:$I$130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Totals'!$J$125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Totals'!$J$126:$J$130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Totals'!$K$125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Totals'!$K$126:$K$130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Totals'!$L$125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Totals'!$L$126:$L$130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Totals'!$M$125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Totals'!$M$126:$M$130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Totals'!$N$125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Totals'!$A$126:$B$130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Totals'!$N$126:$N$130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2690104"/>
        <c:axId val="-2062687160"/>
      </c:barChart>
      <c:catAx>
        <c:axId val="-20626901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2687160"/>
        <c:crosses val="autoZero"/>
        <c:auto val="1"/>
        <c:lblAlgn val="ctr"/>
        <c:lblOffset val="100"/>
        <c:noMultiLvlLbl val="0"/>
      </c:catAx>
      <c:valAx>
        <c:axId val="-2062687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62690104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12.  RANK FOUR of priority for providing opportunities to learn the language 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Totals'!$E$133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Totals'!$E$134:$E$138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Totals'!$F$133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Totals'!$F$134:$F$138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Totals'!$G$133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Totals'!$G$134:$G$138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Totals'!$H$133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Totals'!$H$134:$H$138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Totals'!$I$133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Totals'!$I$134:$I$138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Totals'!$J$133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Totals'!$J$134:$J$138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Totals'!$K$133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Totals'!$K$134:$K$138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Totals'!$L$133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Totals'!$L$134:$L$138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Totals'!$M$133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Totals'!$M$134:$M$138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Totals'!$N$133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Totals'!$A$134:$B$138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Totals'!$N$134:$N$138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0816312"/>
        <c:axId val="-2093213128"/>
      </c:barChart>
      <c:catAx>
        <c:axId val="-20808163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3213128"/>
        <c:crosses val="autoZero"/>
        <c:auto val="1"/>
        <c:lblAlgn val="ctr"/>
        <c:lblOffset val="100"/>
        <c:noMultiLvlLbl val="0"/>
      </c:catAx>
      <c:valAx>
        <c:axId val="-2093213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0816312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12.  RANK FIVE of priority for providing opportunities to learn the language </a:t>
            </a:r>
            <a:r>
              <a:rPr lang="en-US" sz="1800" b="1" i="0" u="none" strike="noStrike" baseline="0"/>
              <a:t> </a:t>
            </a:r>
            <a:endParaRPr lang="en-US" sz="1800" b="1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Totals'!$E$141</c:f>
              <c:strCache>
                <c:ptCount val="1"/>
                <c:pt idx="0">
                  <c:v>0-4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Totals'!$E$142:$E$146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'Response Totals'!$F$141</c:f>
              <c:strCache>
                <c:ptCount val="1"/>
                <c:pt idx="0">
                  <c:v>5-14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Totals'!$F$142:$F$146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'Response Totals'!$G$141</c:f>
              <c:strCache>
                <c:ptCount val="1"/>
                <c:pt idx="0">
                  <c:v>15-19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Totals'!$G$142:$G$146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'Response Totals'!$H$141</c:f>
              <c:strCache>
                <c:ptCount val="1"/>
                <c:pt idx="0">
                  <c:v>20-24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Totals'!$H$142:$H$146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'Response Totals'!$I$141</c:f>
              <c:strCache>
                <c:ptCount val="1"/>
                <c:pt idx="0">
                  <c:v>25-44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Totals'!$I$142:$I$146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'Response Totals'!$J$141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Totals'!$J$142:$J$146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'Response Totals'!$K$141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Totals'!$K$142:$K$146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'Response Totals'!$L$141</c:f>
              <c:strCache>
                <c:ptCount val="1"/>
                <c:pt idx="0">
                  <c:v>65-74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Totals'!$L$142:$L$146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'Response Totals'!$M$141</c:f>
              <c:strCache>
                <c:ptCount val="1"/>
                <c:pt idx="0">
                  <c:v>75-84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Totals'!$M$142:$M$146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'Response Totals'!$N$141</c:f>
              <c:strCache>
                <c:ptCount val="1"/>
                <c:pt idx="0">
                  <c:v>85+</c:v>
                </c:pt>
              </c:strCache>
            </c:strRef>
          </c:tx>
          <c:invertIfNegative val="0"/>
          <c:cat>
            <c:multiLvlStrRef>
              <c:f>'Response Totals'!$A$142:$B$146</c:f>
              <c:multiLvlStrCache>
                <c:ptCount val="5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Children</c:v>
                  </c:pt>
                  <c:pt idx="1">
                    <c:v>Teens</c:v>
                  </c:pt>
                  <c:pt idx="2">
                    <c:v>Elders</c:v>
                  </c:pt>
                  <c:pt idx="3">
                    <c:v>Students</c:v>
                  </c:pt>
                  <c:pt idx="4">
                    <c:v>Families</c:v>
                  </c:pt>
                </c:lvl>
              </c:multiLvlStrCache>
            </c:multiLvlStrRef>
          </c:cat>
          <c:val>
            <c:numRef>
              <c:f>'Response Totals'!$N$142:$N$146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1178984"/>
        <c:axId val="-2080902984"/>
      </c:barChart>
      <c:catAx>
        <c:axId val="-208117898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0902984"/>
        <c:crosses val="autoZero"/>
        <c:auto val="1"/>
        <c:lblAlgn val="ctr"/>
        <c:lblOffset val="100"/>
        <c:noMultiLvlLbl val="0"/>
      </c:catAx>
      <c:valAx>
        <c:axId val="-2080902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1178984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Totals'!$A$148</c:f>
              <c:strCache>
                <c:ptCount val="1"/>
                <c:pt idx="0">
                  <c:v>13. It does not matter how the language is written</c:v>
                </c:pt>
              </c:strCache>
            </c:strRef>
          </c:tx>
          <c:invertIfNegative val="0"/>
          <c:cat>
            <c:strRef>
              <c:f>'Response Totals'!$A$150:$A$154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Totals'!$B$150:$B$154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4912264"/>
        <c:axId val="-2074911480"/>
      </c:barChart>
      <c:catAx>
        <c:axId val="-207491226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4911480"/>
        <c:crosses val="autoZero"/>
        <c:auto val="1"/>
        <c:lblAlgn val="ctr"/>
        <c:lblOffset val="100"/>
        <c:noMultiLvlLbl val="0"/>
      </c:catAx>
      <c:valAx>
        <c:axId val="-2074911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4912264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Totals'!$A$28</c:f>
              <c:strCache>
                <c:ptCount val="1"/>
                <c:pt idx="0">
                  <c:v>2. Our language is vital to our identity and existence as a people </c:v>
                </c:pt>
              </c:strCache>
            </c:strRef>
          </c:tx>
          <c:invertIfNegative val="0"/>
          <c:cat>
            <c:strRef>
              <c:f>'Response Totals'!$A$30:$A$34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Totals'!$B$30:$B$34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7108840"/>
        <c:axId val="-2094735096"/>
      </c:barChart>
      <c:catAx>
        <c:axId val="-20971088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4735096"/>
        <c:crosses val="autoZero"/>
        <c:auto val="1"/>
        <c:lblAlgn val="ctr"/>
        <c:lblOffset val="100"/>
        <c:noMultiLvlLbl val="0"/>
      </c:catAx>
      <c:valAx>
        <c:axId val="-2094735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7108840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Totals'!$A$156</c:f>
              <c:strCache>
                <c:ptCount val="1"/>
                <c:pt idx="0">
                  <c:v>14. I would be willing to assist in a language program</c:v>
                </c:pt>
              </c:strCache>
            </c:strRef>
          </c:tx>
          <c:invertIfNegative val="0"/>
          <c:cat>
            <c:strRef>
              <c:f>'Response Totals'!$A$158:$A$162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Totals'!$B$158:$B$162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3355624"/>
        <c:axId val="-2073712312"/>
      </c:barChart>
      <c:catAx>
        <c:axId val="-207335562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3712312"/>
        <c:crosses val="autoZero"/>
        <c:auto val="1"/>
        <c:lblAlgn val="ctr"/>
        <c:lblOffset val="100"/>
        <c:noMultiLvlLbl val="0"/>
      </c:catAx>
      <c:valAx>
        <c:axId val="-2073712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3355624"/>
        <c:crosses val="autoZero"/>
        <c:crossBetween val="between"/>
        <c:majorUnit val="1.0"/>
        <c:minorUnit val="1.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Totals'!$A$36</c:f>
              <c:strCache>
                <c:ptCount val="1"/>
                <c:pt idx="0">
                  <c:v>3. Our language is worth saving  </c:v>
                </c:pt>
              </c:strCache>
            </c:strRef>
          </c:tx>
          <c:invertIfNegative val="0"/>
          <c:cat>
            <c:strRef>
              <c:f>'Response Totals'!$A$38:$A$42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Totals'!$B$38:$B$42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7093048"/>
        <c:axId val="-2096387800"/>
      </c:barChart>
      <c:catAx>
        <c:axId val="-20970930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6387800"/>
        <c:crosses val="autoZero"/>
        <c:auto val="1"/>
        <c:lblAlgn val="ctr"/>
        <c:lblOffset val="100"/>
        <c:noMultiLvlLbl val="0"/>
      </c:catAx>
      <c:valAx>
        <c:axId val="-2096387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7093048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Totals'!$A$44</c:f>
              <c:strCache>
                <c:ptCount val="1"/>
                <c:pt idx="0">
                  <c:v>4. Our language is difficult to learn</c:v>
                </c:pt>
              </c:strCache>
            </c:strRef>
          </c:tx>
          <c:invertIfNegative val="0"/>
          <c:cat>
            <c:strRef>
              <c:f>'Response Totals'!$A$46:$A$50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Totals'!$B$46:$B$50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8419992"/>
        <c:axId val="-2112545832"/>
      </c:barChart>
      <c:catAx>
        <c:axId val="-20884199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545832"/>
        <c:crosses val="autoZero"/>
        <c:auto val="1"/>
        <c:lblAlgn val="ctr"/>
        <c:lblOffset val="100"/>
        <c:noMultiLvlLbl val="0"/>
      </c:catAx>
      <c:valAx>
        <c:axId val="-2112545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8419992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Totals'!$A$52</c:f>
              <c:strCache>
                <c:ptCount val="1"/>
                <c:pt idx="0">
                  <c:v>5. Our community should work hard to teach the language to people who don’t know it</c:v>
                </c:pt>
              </c:strCache>
            </c:strRef>
          </c:tx>
          <c:invertIfNegative val="0"/>
          <c:cat>
            <c:strRef>
              <c:f>'Response Totals'!$A$54:$A$58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Totals'!$B$54:$B$58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8327368"/>
        <c:axId val="-2094341336"/>
      </c:barChart>
      <c:catAx>
        <c:axId val="-207832736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4341336"/>
        <c:crosses val="autoZero"/>
        <c:auto val="1"/>
        <c:lblAlgn val="ctr"/>
        <c:lblOffset val="100"/>
        <c:noMultiLvlLbl val="0"/>
      </c:catAx>
      <c:valAx>
        <c:axId val="-2094341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8327368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Totals'!$A$60</c:f>
              <c:strCache>
                <c:ptCount val="1"/>
                <c:pt idx="0">
                  <c:v>6. It would be a good idea to provide classes for families on how to keep their language in use at home</c:v>
                </c:pt>
              </c:strCache>
            </c:strRef>
          </c:tx>
          <c:invertIfNegative val="0"/>
          <c:cat>
            <c:strRef>
              <c:f>'Response Totals'!$A$62:$A$66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Totals'!$B$62:$B$66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6233912"/>
        <c:axId val="-2094372184"/>
      </c:barChart>
      <c:catAx>
        <c:axId val="-20962339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4372184"/>
        <c:crosses val="autoZero"/>
        <c:auto val="1"/>
        <c:lblAlgn val="ctr"/>
        <c:lblOffset val="100"/>
        <c:noMultiLvlLbl val="0"/>
      </c:catAx>
      <c:valAx>
        <c:axId val="-2094372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6233912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Totals'!$A$68</c:f>
              <c:strCache>
                <c:ptCount val="1"/>
                <c:pt idx="0">
                  <c:v>7. Our language should be taught in schools </c:v>
                </c:pt>
              </c:strCache>
            </c:strRef>
          </c:tx>
          <c:invertIfNegative val="0"/>
          <c:cat>
            <c:strRef>
              <c:f>'Response Totals'!$A$70:$A$74</c:f>
              <c:strCache>
                <c:ptCount val="5"/>
                <c:pt idx="0">
                  <c:v>1 - Disagree Strongly</c:v>
                </c:pt>
                <c:pt idx="1">
                  <c:v>2 - Disagree Somewhat</c:v>
                </c:pt>
                <c:pt idx="2">
                  <c:v>3 - Neutral</c:v>
                </c:pt>
                <c:pt idx="3">
                  <c:v>4 - Agree Somewhat</c:v>
                </c:pt>
                <c:pt idx="4">
                  <c:v>5 - Agree strongly</c:v>
                </c:pt>
              </c:strCache>
            </c:strRef>
          </c:cat>
          <c:val>
            <c:numRef>
              <c:f>'Response Totals'!$B$70:$B$74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9585144"/>
        <c:axId val="2109640904"/>
      </c:barChart>
      <c:catAx>
        <c:axId val="-207958514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9640904"/>
        <c:crosses val="autoZero"/>
        <c:auto val="1"/>
        <c:lblAlgn val="ctr"/>
        <c:lblOffset val="100"/>
        <c:noMultiLvlLbl val="0"/>
      </c:catAx>
      <c:valAx>
        <c:axId val="2109640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Responses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9585144"/>
        <c:crosses val="autoZero"/>
        <c:crossBetween val="between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20" Type="http://schemas.openxmlformats.org/officeDocument/2006/relationships/chart" Target="../charts/chart20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chart" Target="../charts/chart29.xml"/><Relationship Id="rId20" Type="http://schemas.openxmlformats.org/officeDocument/2006/relationships/chart" Target="../charts/chart40.xml"/><Relationship Id="rId10" Type="http://schemas.openxmlformats.org/officeDocument/2006/relationships/chart" Target="../charts/chart30.xml"/><Relationship Id="rId11" Type="http://schemas.openxmlformats.org/officeDocument/2006/relationships/chart" Target="../charts/chart31.xml"/><Relationship Id="rId12" Type="http://schemas.openxmlformats.org/officeDocument/2006/relationships/chart" Target="../charts/chart32.xml"/><Relationship Id="rId13" Type="http://schemas.openxmlformats.org/officeDocument/2006/relationships/chart" Target="../charts/chart33.xml"/><Relationship Id="rId14" Type="http://schemas.openxmlformats.org/officeDocument/2006/relationships/chart" Target="../charts/chart34.xml"/><Relationship Id="rId15" Type="http://schemas.openxmlformats.org/officeDocument/2006/relationships/chart" Target="../charts/chart35.xml"/><Relationship Id="rId16" Type="http://schemas.openxmlformats.org/officeDocument/2006/relationships/chart" Target="../charts/chart36.xml"/><Relationship Id="rId17" Type="http://schemas.openxmlformats.org/officeDocument/2006/relationships/chart" Target="../charts/chart37.xml"/><Relationship Id="rId18" Type="http://schemas.openxmlformats.org/officeDocument/2006/relationships/chart" Target="../charts/chart38.xml"/><Relationship Id="rId19" Type="http://schemas.openxmlformats.org/officeDocument/2006/relationships/chart" Target="../charts/chart39.xml"/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5" Type="http://schemas.openxmlformats.org/officeDocument/2006/relationships/chart" Target="../charts/chart25.xml"/><Relationship Id="rId6" Type="http://schemas.openxmlformats.org/officeDocument/2006/relationships/chart" Target="../charts/chart26.xml"/><Relationship Id="rId7" Type="http://schemas.openxmlformats.org/officeDocument/2006/relationships/chart" Target="../charts/chart27.xml"/><Relationship Id="rId8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2</xdr:row>
      <xdr:rowOff>38100</xdr:rowOff>
    </xdr:from>
    <xdr:to>
      <xdr:col>6</xdr:col>
      <xdr:colOff>673100</xdr:colOff>
      <xdr:row>19</xdr:row>
      <xdr:rowOff>114300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165100</xdr:colOff>
      <xdr:row>23</xdr:row>
      <xdr:rowOff>76200</xdr:rowOff>
    </xdr:from>
    <xdr:to>
      <xdr:col>6</xdr:col>
      <xdr:colOff>755650</xdr:colOff>
      <xdr:row>40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6</xdr:col>
      <xdr:colOff>711200</xdr:colOff>
      <xdr:row>65</xdr:row>
      <xdr:rowOff>139700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6</xdr:col>
      <xdr:colOff>711200</xdr:colOff>
      <xdr:row>87</xdr:row>
      <xdr:rowOff>139700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6</xdr:col>
      <xdr:colOff>711200</xdr:colOff>
      <xdr:row>110</xdr:row>
      <xdr:rowOff>139700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6</xdr:col>
      <xdr:colOff>711200</xdr:colOff>
      <xdr:row>132</xdr:row>
      <xdr:rowOff>139700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136</xdr:row>
      <xdr:rowOff>0</xdr:rowOff>
    </xdr:from>
    <xdr:to>
      <xdr:col>6</xdr:col>
      <xdr:colOff>711200</xdr:colOff>
      <xdr:row>155</xdr:row>
      <xdr:rowOff>139700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158</xdr:row>
      <xdr:rowOff>0</xdr:rowOff>
    </xdr:from>
    <xdr:to>
      <xdr:col>6</xdr:col>
      <xdr:colOff>711200</xdr:colOff>
      <xdr:row>177</xdr:row>
      <xdr:rowOff>139700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6</xdr:col>
      <xdr:colOff>711200</xdr:colOff>
      <xdr:row>200</xdr:row>
      <xdr:rowOff>139700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203</xdr:row>
      <xdr:rowOff>0</xdr:rowOff>
    </xdr:from>
    <xdr:to>
      <xdr:col>6</xdr:col>
      <xdr:colOff>711200</xdr:colOff>
      <xdr:row>222</xdr:row>
      <xdr:rowOff>139700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226</xdr:row>
      <xdr:rowOff>0</xdr:rowOff>
    </xdr:from>
    <xdr:to>
      <xdr:col>6</xdr:col>
      <xdr:colOff>711200</xdr:colOff>
      <xdr:row>245</xdr:row>
      <xdr:rowOff>139700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248</xdr:row>
      <xdr:rowOff>0</xdr:rowOff>
    </xdr:from>
    <xdr:to>
      <xdr:col>6</xdr:col>
      <xdr:colOff>711200</xdr:colOff>
      <xdr:row>267</xdr:row>
      <xdr:rowOff>139700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271</xdr:row>
      <xdr:rowOff>0</xdr:rowOff>
    </xdr:from>
    <xdr:to>
      <xdr:col>6</xdr:col>
      <xdr:colOff>711200</xdr:colOff>
      <xdr:row>290</xdr:row>
      <xdr:rowOff>139700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293</xdr:row>
      <xdr:rowOff>0</xdr:rowOff>
    </xdr:from>
    <xdr:to>
      <xdr:col>6</xdr:col>
      <xdr:colOff>711200</xdr:colOff>
      <xdr:row>312</xdr:row>
      <xdr:rowOff>139700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316</xdr:row>
      <xdr:rowOff>0</xdr:rowOff>
    </xdr:from>
    <xdr:to>
      <xdr:col>6</xdr:col>
      <xdr:colOff>711200</xdr:colOff>
      <xdr:row>335</xdr:row>
      <xdr:rowOff>139700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338</xdr:row>
      <xdr:rowOff>0</xdr:rowOff>
    </xdr:from>
    <xdr:to>
      <xdr:col>6</xdr:col>
      <xdr:colOff>711200</xdr:colOff>
      <xdr:row>357</xdr:row>
      <xdr:rowOff>139700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361</xdr:row>
      <xdr:rowOff>0</xdr:rowOff>
    </xdr:from>
    <xdr:to>
      <xdr:col>6</xdr:col>
      <xdr:colOff>711200</xdr:colOff>
      <xdr:row>380</xdr:row>
      <xdr:rowOff>139700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383</xdr:row>
      <xdr:rowOff>0</xdr:rowOff>
    </xdr:from>
    <xdr:to>
      <xdr:col>6</xdr:col>
      <xdr:colOff>711200</xdr:colOff>
      <xdr:row>402</xdr:row>
      <xdr:rowOff>139700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406</xdr:row>
      <xdr:rowOff>0</xdr:rowOff>
    </xdr:from>
    <xdr:to>
      <xdr:col>6</xdr:col>
      <xdr:colOff>711200</xdr:colOff>
      <xdr:row>425</xdr:row>
      <xdr:rowOff>139700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428</xdr:row>
      <xdr:rowOff>0</xdr:rowOff>
    </xdr:from>
    <xdr:to>
      <xdr:col>6</xdr:col>
      <xdr:colOff>711200</xdr:colOff>
      <xdr:row>447</xdr:row>
      <xdr:rowOff>139700</xdr:rowOff>
    </xdr:to>
    <xdr:graphicFrame macro="">
      <xdr:nvGraphicFramePr>
        <xdr:cNvPr id="59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38100</xdr:rowOff>
    </xdr:from>
    <xdr:to>
      <xdr:col>9</xdr:col>
      <xdr:colOff>698500</xdr:colOff>
      <xdr:row>16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16</xdr:row>
      <xdr:rowOff>101600</xdr:rowOff>
    </xdr:from>
    <xdr:to>
      <xdr:col>9</xdr:col>
      <xdr:colOff>685800</xdr:colOff>
      <xdr:row>31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34</xdr:row>
      <xdr:rowOff>25400</xdr:rowOff>
    </xdr:from>
    <xdr:to>
      <xdr:col>9</xdr:col>
      <xdr:colOff>673100</xdr:colOff>
      <xdr:row>49</xdr:row>
      <xdr:rowOff>88900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12700</xdr:colOff>
      <xdr:row>50</xdr:row>
      <xdr:rowOff>12700</xdr:rowOff>
    </xdr:from>
    <xdr:to>
      <xdr:col>9</xdr:col>
      <xdr:colOff>660400</xdr:colOff>
      <xdr:row>65</xdr:row>
      <xdr:rowOff>76200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9</xdr:col>
      <xdr:colOff>647700</xdr:colOff>
      <xdr:row>82</xdr:row>
      <xdr:rowOff>63500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83</xdr:row>
      <xdr:rowOff>0</xdr:rowOff>
    </xdr:from>
    <xdr:to>
      <xdr:col>9</xdr:col>
      <xdr:colOff>647700</xdr:colOff>
      <xdr:row>98</xdr:row>
      <xdr:rowOff>63500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9</xdr:col>
      <xdr:colOff>647700</xdr:colOff>
      <xdr:row>115</xdr:row>
      <xdr:rowOff>63500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9</xdr:col>
      <xdr:colOff>647700</xdr:colOff>
      <xdr:row>131</xdr:row>
      <xdr:rowOff>63500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133</xdr:row>
      <xdr:rowOff>0</xdr:rowOff>
    </xdr:from>
    <xdr:to>
      <xdr:col>9</xdr:col>
      <xdr:colOff>647700</xdr:colOff>
      <xdr:row>148</xdr:row>
      <xdr:rowOff>63500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149</xdr:row>
      <xdr:rowOff>0</xdr:rowOff>
    </xdr:from>
    <xdr:to>
      <xdr:col>9</xdr:col>
      <xdr:colOff>647700</xdr:colOff>
      <xdr:row>164</xdr:row>
      <xdr:rowOff>63500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166</xdr:row>
      <xdr:rowOff>0</xdr:rowOff>
    </xdr:from>
    <xdr:to>
      <xdr:col>9</xdr:col>
      <xdr:colOff>647700</xdr:colOff>
      <xdr:row>181</xdr:row>
      <xdr:rowOff>63500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182</xdr:row>
      <xdr:rowOff>0</xdr:rowOff>
    </xdr:from>
    <xdr:to>
      <xdr:col>9</xdr:col>
      <xdr:colOff>647700</xdr:colOff>
      <xdr:row>197</xdr:row>
      <xdr:rowOff>63500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199</xdr:row>
      <xdr:rowOff>0</xdr:rowOff>
    </xdr:from>
    <xdr:to>
      <xdr:col>9</xdr:col>
      <xdr:colOff>647700</xdr:colOff>
      <xdr:row>214</xdr:row>
      <xdr:rowOff>63500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215</xdr:row>
      <xdr:rowOff>0</xdr:rowOff>
    </xdr:from>
    <xdr:to>
      <xdr:col>9</xdr:col>
      <xdr:colOff>647700</xdr:colOff>
      <xdr:row>230</xdr:row>
      <xdr:rowOff>63500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232</xdr:row>
      <xdr:rowOff>0</xdr:rowOff>
    </xdr:from>
    <xdr:to>
      <xdr:col>9</xdr:col>
      <xdr:colOff>647700</xdr:colOff>
      <xdr:row>247</xdr:row>
      <xdr:rowOff>63500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248</xdr:row>
      <xdr:rowOff>0</xdr:rowOff>
    </xdr:from>
    <xdr:to>
      <xdr:col>9</xdr:col>
      <xdr:colOff>647700</xdr:colOff>
      <xdr:row>263</xdr:row>
      <xdr:rowOff>63500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265</xdr:row>
      <xdr:rowOff>0</xdr:rowOff>
    </xdr:from>
    <xdr:to>
      <xdr:col>9</xdr:col>
      <xdr:colOff>647700</xdr:colOff>
      <xdr:row>280</xdr:row>
      <xdr:rowOff>63500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281</xdr:row>
      <xdr:rowOff>0</xdr:rowOff>
    </xdr:from>
    <xdr:to>
      <xdr:col>9</xdr:col>
      <xdr:colOff>647700</xdr:colOff>
      <xdr:row>296</xdr:row>
      <xdr:rowOff>63500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298</xdr:row>
      <xdr:rowOff>0</xdr:rowOff>
    </xdr:from>
    <xdr:to>
      <xdr:col>9</xdr:col>
      <xdr:colOff>647700</xdr:colOff>
      <xdr:row>313</xdr:row>
      <xdr:rowOff>63500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314</xdr:row>
      <xdr:rowOff>0</xdr:rowOff>
    </xdr:from>
    <xdr:to>
      <xdr:col>9</xdr:col>
      <xdr:colOff>647700</xdr:colOff>
      <xdr:row>329</xdr:row>
      <xdr:rowOff>63500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"/>
  <sheetViews>
    <sheetView tabSelected="1" workbookViewId="0">
      <pane ySplit="1" topLeftCell="A2" activePane="bottomLeft" state="frozen"/>
      <selection pane="bottomLeft" activeCell="S11" sqref="S11"/>
    </sheetView>
  </sheetViews>
  <sheetFormatPr baseColWidth="10" defaultColWidth="21.33203125" defaultRowHeight="15" x14ac:dyDescent="0"/>
  <cols>
    <col min="1" max="16384" width="21.33203125" style="4"/>
  </cols>
  <sheetData>
    <row r="1" spans="1:23" s="18" customFormat="1" ht="150">
      <c r="A1" s="18" t="s">
        <v>20</v>
      </c>
      <c r="B1" s="18" t="s">
        <v>24</v>
      </c>
      <c r="C1" s="18" t="s">
        <v>23</v>
      </c>
      <c r="D1" s="18" t="s">
        <v>0</v>
      </c>
      <c r="E1" s="18" t="s">
        <v>1</v>
      </c>
      <c r="F1" s="18" t="s">
        <v>29</v>
      </c>
      <c r="G1" s="18" t="s">
        <v>31</v>
      </c>
      <c r="H1" s="18" t="s">
        <v>32</v>
      </c>
      <c r="I1" s="18" t="s">
        <v>33</v>
      </c>
      <c r="J1" s="18" t="s">
        <v>34</v>
      </c>
      <c r="K1" s="18" t="s">
        <v>35</v>
      </c>
      <c r="L1" s="19" t="s">
        <v>36</v>
      </c>
      <c r="M1" s="18" t="s">
        <v>37</v>
      </c>
      <c r="N1" s="19" t="s">
        <v>38</v>
      </c>
      <c r="O1" s="18" t="s">
        <v>60</v>
      </c>
      <c r="P1" s="18" t="s">
        <v>39</v>
      </c>
      <c r="Q1" s="25" t="s">
        <v>42</v>
      </c>
      <c r="R1" s="25" t="s">
        <v>43</v>
      </c>
      <c r="S1" s="25" t="s">
        <v>44</v>
      </c>
      <c r="T1" s="25" t="s">
        <v>45</v>
      </c>
      <c r="U1" s="25" t="s">
        <v>46</v>
      </c>
      <c r="V1" s="18" t="s">
        <v>40</v>
      </c>
      <c r="W1" s="18" t="s">
        <v>41</v>
      </c>
    </row>
  </sheetData>
  <dataValidations xWindow="1214" yWindow="64834" count="13">
    <dataValidation allowBlank="1" showInputMessage="1" showErrorMessage="1" promptTitle="Open ended response" prompt="Data entered in this column will not be tabulated in Excel. You can use the Mail Merge function in Word to connect a Word document to this Excel template to present open ended response data collected in this column, if you choose to do so. " sqref="M1 M3:M1048576"/>
    <dataValidation allowBlank="1" showInputMessage="1" showErrorMessage="1" promptTitle="Open ended response" prompt="Data entered in this column will not be tabulated in Excel. You can use the Mail Merge function in Word to connect a Word document to this Excel template to present open ended response data collected in this column, if you choose to do so." sqref="Y2 AA2"/>
    <dataValidation allowBlank="1" showInputMessage="1" showErrorMessage="1" promptTitle="Entering ranked responses" prompt="Enter the NUMBER ONE REASON in this column_x000d__x000d_Eg. If participant selects Knowledge as 1st reason, type &quot;Knowledge&quot;_x000d__x000d_If the response is &quot;Other&quot;, only enter &quot;Other&quot;. Do not specify" sqref="AC2"/>
    <dataValidation allowBlank="1" showInputMessage="1" showErrorMessage="1" promptTitle="Entering ranked responses" prompt="Enter the NUMBER TWO REASON in this column_x000d__x000d_Eg. If participant selects Culture as 2nd reason, type &quot;Culture&quot;_x000d__x000d_If the response is &quot;Other&quot;, only enter &quot;Other&quot;. Do not specify" sqref="AD2"/>
    <dataValidation allowBlank="1" showInputMessage="1" showErrorMessage="1" promptTitle="Entering ranked responses" prompt="Enter the NUMBER THREE REASON in this column_x000d__x000d_Eg. If participant selects Nation as 3rd reason, type &quot;Nation&quot;_x000d__x000d_If the response is &quot;Other&quot;, only enter &quot;Other&quot;. Do not specify" sqref="AE2"/>
    <dataValidation allowBlank="1" showInputMessage="1" showErrorMessage="1" promptTitle="Entering data for gender" prompt="To enter data for gender, use the lower-case letter &quot;f&quot; or &quot;m&quot; only. Do not capitalize the letter of the gender. Do not write the full word for the gender. " sqref="C2"/>
    <dataValidation allowBlank="1" showInputMessage="1" showErrorMessage="1" promptTitle="Entering data for age" prompt="To enter data for age, type any age number. Excel will automatically group the age into a category for the response totals worksheet." sqref="B2"/>
    <dataValidation allowBlank="1" showInputMessage="1" showErrorMessage="1" promptTitle="Entering a value of Agreement" prompt="Enter a number of 1 to 5, from Disagree Strongly (1), Disagree Somewhat (2), Neutral (3), Agree Somewhat (4) to Agree Strongly (5)" sqref="F2:P2 V2:W2"/>
    <dataValidation allowBlank="1" showInputMessage="1" showErrorMessage="1" promptTitle="Entering ranked responses" prompt="Enter the RANK TWO GROUP in this column_x000d__x000d_Eg. If participant selects children as the number one reason, type &quot;children&quot;" sqref="R2"/>
    <dataValidation allowBlank="1" showInputMessage="1" showErrorMessage="1" promptTitle="Entering ranked responses" prompt="Enter the RANK ONE GROUP  in this column_x000d__x000d_Eg. If participant selects children as the number one reason, type &quot;children&quot;" sqref="Q2"/>
    <dataValidation allowBlank="1" showInputMessage="1" showErrorMessage="1" promptTitle="Entering ranked responses" prompt="Enter the RANK THREE GROUP in this column_x000d__x000d_Eg. If participant selects children as the number one reason, type &quot;children&quot;" sqref="S2"/>
    <dataValidation allowBlank="1" showInputMessage="1" showErrorMessage="1" promptTitle="Entering ranked responses" prompt="Enter the RANK FOUR GROUP in this column_x000d__x000d_Eg. If participant selects children as the number one reason, type &quot;children&quot;" sqref="T2"/>
    <dataValidation allowBlank="1" showInputMessage="1" showErrorMessage="1" promptTitle="Entering ranked responses" prompt="Enter the RANK FIVE GROUP in this column_x000d__x000d_Eg. If participant selects children as the number one reason, type &quot;children&quot;" sqref="U2"/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view="pageLayout" topLeftCell="A143" workbookViewId="0">
      <selection activeCell="A132" sqref="A132"/>
    </sheetView>
  </sheetViews>
  <sheetFormatPr baseColWidth="10" defaultRowHeight="15" x14ac:dyDescent="0"/>
  <cols>
    <col min="1" max="1" width="19.5" style="2" customWidth="1"/>
    <col min="2" max="2" width="6.5" customWidth="1"/>
    <col min="3" max="4" width="4.33203125" customWidth="1"/>
    <col min="5" max="5" width="3.83203125" customWidth="1"/>
    <col min="6" max="6" width="4.83203125" customWidth="1"/>
    <col min="7" max="13" width="5.83203125" customWidth="1"/>
    <col min="14" max="14" width="4.33203125" customWidth="1"/>
  </cols>
  <sheetData>
    <row r="1" spans="1:2" ht="53" customHeight="1">
      <c r="A1" s="6" t="s">
        <v>26</v>
      </c>
      <c r="B1" s="22" t="s">
        <v>27</v>
      </c>
    </row>
    <row r="2" spans="1:2" ht="16" customHeight="1"/>
    <row r="3" spans="1:2">
      <c r="A3" s="3" t="s">
        <v>21</v>
      </c>
      <c r="B3" s="4" t="s">
        <v>15</v>
      </c>
    </row>
    <row r="4" spans="1:2">
      <c r="A4" s="3" t="s">
        <v>6</v>
      </c>
      <c r="B4" s="4">
        <f>COUNTIF('Participant Responses'!$B$2:$B$1000,"&lt;=4")</f>
        <v>0</v>
      </c>
    </row>
    <row r="5" spans="1:2">
      <c r="A5" s="3" t="s">
        <v>17</v>
      </c>
      <c r="B5" s="4">
        <f>COUNTIFS('Participant Responses'!$B$2:$B$1000,"&gt;=5",'Participant Responses'!$B$2:$B$1000,"&lt;=14")</f>
        <v>0</v>
      </c>
    </row>
    <row r="6" spans="1:2">
      <c r="A6" s="3" t="s">
        <v>7</v>
      </c>
      <c r="B6" s="4">
        <f>COUNTIFS('Participant Responses'!$B$2:$B$1000,"&gt;=15",'Participant Responses'!$B$2:$B$1000,"&lt;=19")</f>
        <v>0</v>
      </c>
    </row>
    <row r="7" spans="1:2">
      <c r="A7" s="3" t="s">
        <v>8</v>
      </c>
      <c r="B7" s="4">
        <f>COUNTIFS('Participant Responses'!$B$2:$B$1000,"&gt;=20",'Participant Responses'!$B$2:$B$1000,"&lt;=24")</f>
        <v>0</v>
      </c>
    </row>
    <row r="8" spans="1:2">
      <c r="A8" s="3" t="s">
        <v>9</v>
      </c>
      <c r="B8" s="4">
        <f>COUNTIFS('Participant Responses'!$B$2:$B$1000,"&gt;=25",'Participant Responses'!$B$2:$B$1000,"&lt;=44")</f>
        <v>0</v>
      </c>
    </row>
    <row r="9" spans="1:2">
      <c r="A9" s="3" t="s">
        <v>10</v>
      </c>
      <c r="B9" s="5">
        <f>COUNTIFS('Participant Responses'!$B$2:$B$1000,"&gt;=45",'Participant Responses'!$B$2:$B$1000,"&lt;=54")</f>
        <v>0</v>
      </c>
    </row>
    <row r="10" spans="1:2">
      <c r="A10" s="3" t="s">
        <v>11</v>
      </c>
      <c r="B10" s="4">
        <f>COUNTIFS('Participant Responses'!$B$2:$B$1000,"&gt;=55",'Participant Responses'!$B$2:$B$1000,"&lt;=64")</f>
        <v>0</v>
      </c>
    </row>
    <row r="11" spans="1:2">
      <c r="A11" s="3" t="s">
        <v>18</v>
      </c>
      <c r="B11" s="4">
        <f>COUNTIFS('Participant Responses'!$B$2:$B$1000,"&gt;=65",'Participant Responses'!$B$2:$B$1000,"&lt;=74")</f>
        <v>0</v>
      </c>
    </row>
    <row r="12" spans="1:2">
      <c r="A12" s="3" t="s">
        <v>12</v>
      </c>
      <c r="B12" s="4">
        <f>COUNTIFS('Participant Responses'!$B$2:$B$1000,"&gt;=75",'Participant Responses'!$B$2:$B$1000,"&lt;=84")</f>
        <v>0</v>
      </c>
    </row>
    <row r="13" spans="1:2">
      <c r="A13" s="3" t="s">
        <v>16</v>
      </c>
      <c r="B13" s="4">
        <f>COUNTIFS('Participant Responses'!$B$2:$B$1000,"&gt;=85")</f>
        <v>0</v>
      </c>
    </row>
    <row r="15" spans="1:2" ht="30">
      <c r="A15" s="6" t="s">
        <v>22</v>
      </c>
      <c r="B15" s="4" t="s">
        <v>15</v>
      </c>
    </row>
    <row r="16" spans="1:2">
      <c r="A16" s="3" t="s">
        <v>3</v>
      </c>
      <c r="B16" s="4">
        <f>COUNTIF('Participant Responses'!$C$2:$C$1000,"m")</f>
        <v>0</v>
      </c>
    </row>
    <row r="17" spans="1:14" ht="16" thickBot="1">
      <c r="A17" s="14" t="s">
        <v>4</v>
      </c>
      <c r="B17" s="15">
        <f>COUNTIF('Participant Responses'!$C$2:$C$1000,"f")</f>
        <v>0</v>
      </c>
    </row>
    <row r="18" spans="1:14">
      <c r="A18" s="20" t="s">
        <v>25</v>
      </c>
      <c r="B18" s="21">
        <f>SUM(B16:B17)</f>
        <v>0</v>
      </c>
    </row>
    <row r="20" spans="1:14" s="1" customFormat="1" ht="68" customHeight="1">
      <c r="A20" s="8" t="s">
        <v>28</v>
      </c>
      <c r="B20" s="11" t="s">
        <v>15</v>
      </c>
      <c r="C20" s="23" t="s">
        <v>2</v>
      </c>
      <c r="D20" s="24"/>
      <c r="E20" s="24" t="s">
        <v>5</v>
      </c>
      <c r="F20" s="24"/>
      <c r="G20" s="24"/>
      <c r="H20" s="24"/>
      <c r="I20" s="24"/>
      <c r="J20" s="24"/>
      <c r="K20" s="24"/>
      <c r="L20" s="24"/>
      <c r="M20" s="24"/>
      <c r="N20" s="24"/>
    </row>
    <row r="21" spans="1:14">
      <c r="A21" s="3"/>
      <c r="B21" s="13"/>
      <c r="C21" s="7" t="s">
        <v>13</v>
      </c>
      <c r="D21" s="4" t="s">
        <v>14</v>
      </c>
      <c r="E21" s="3" t="s">
        <v>6</v>
      </c>
      <c r="F21" s="3" t="s">
        <v>17</v>
      </c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18</v>
      </c>
      <c r="M21" s="3" t="s">
        <v>12</v>
      </c>
      <c r="N21" s="3" t="s">
        <v>16</v>
      </c>
    </row>
    <row r="22" spans="1:14">
      <c r="A22" s="9" t="s">
        <v>47</v>
      </c>
      <c r="B22" s="12">
        <f>COUNTIF('Participant Responses'!$F$2:$F$1000,"1")</f>
        <v>0</v>
      </c>
      <c r="C22" s="10">
        <f>COUNTIFS('Participant Responses'!$F$2:$F$1000,"1",'Participant Responses'!$C$2:$C$1000,"m")</f>
        <v>0</v>
      </c>
      <c r="D22" s="4">
        <f>COUNTIFS('Participant Responses'!$F$2:$F$1000,"1",'Participant Responses'!$C$2:$C$1000,"f")</f>
        <v>0</v>
      </c>
      <c r="E22" s="5">
        <f>COUNTIFS('Participant Responses'!$F$2:$F$1000,"1",'Participant Responses'!$B$2:$B$1000,"&lt;=4")</f>
        <v>0</v>
      </c>
      <c r="F22" s="4">
        <f>COUNTIFS('Participant Responses'!$F$2:$F$1000,"1",'Participant Responses'!$B$2:$B$1000,"&gt;=5",'Participant Responses'!$B$2:$B$1000,"&lt;=14")</f>
        <v>0</v>
      </c>
      <c r="G22" s="4">
        <f>COUNTIFS('Participant Responses'!$F$2:$F$1000,"1",'Participant Responses'!$B$2:$B$1000,"&gt;=15",'Participant Responses'!$B$2:$B$1000,"&lt;=19")</f>
        <v>0</v>
      </c>
      <c r="H22" s="4">
        <f>COUNTIFS('Participant Responses'!$F$2:$F$1000,"1",'Participant Responses'!$B$2:$B$1000,"&gt;=20",'Participant Responses'!$B$2:$B$1000,"&lt;=24")</f>
        <v>0</v>
      </c>
      <c r="I22" s="4">
        <f>COUNTIFS('Participant Responses'!$F$2:$F$1000,"1",'Participant Responses'!$B$2:$B$1000,"&gt;=25",'Participant Responses'!$B$2:$B$1000,"&lt;=44")</f>
        <v>0</v>
      </c>
      <c r="J22" s="4">
        <f>COUNTIFS('Participant Responses'!$F$2:$F$1000,"1",'Participant Responses'!$B$2:$B$1000,"&gt;=45",'Participant Responses'!$B$2:$B$1000,"&lt;=54")</f>
        <v>0</v>
      </c>
      <c r="K22" s="4">
        <f>COUNTIFS('Participant Responses'!$F$2:$F$1000,"1",'Participant Responses'!$B$2:$B$1000,"&gt;=55",'Participant Responses'!$B$2:$B$1000,"&lt;=64")</f>
        <v>0</v>
      </c>
      <c r="L22" s="4">
        <f>COUNTIFS('Participant Responses'!$F$2:$F$1000,"1",'Participant Responses'!$B$2:$B$1000,"&gt;=65",'Participant Responses'!$B$2:$B$1000,"&lt;=74")</f>
        <v>0</v>
      </c>
      <c r="M22" s="4">
        <f>COUNTIFS('Participant Responses'!$F$2:$F$1000,"1",'Participant Responses'!$B$2:$B$1000,"&gt;=75",'Participant Responses'!$B$2:$B$1000,"&lt;=84")</f>
        <v>0</v>
      </c>
      <c r="N22" s="4">
        <f>COUNTIFS('Participant Responses'!$F$2:$F$1000,"1",'Participant Responses'!$B$2:$B$1000,"&gt;=85")</f>
        <v>0</v>
      </c>
    </row>
    <row r="23" spans="1:14">
      <c r="A23" s="3" t="s">
        <v>48</v>
      </c>
      <c r="B23" s="13">
        <f>COUNTIF('Participant Responses'!$F$2:$F$1000,"2")</f>
        <v>0</v>
      </c>
      <c r="C23" s="7">
        <f>COUNTIFS('Participant Responses'!$F$2:$F$1000,"2",'Participant Responses'!$C$2:$C$1000,"m")</f>
        <v>0</v>
      </c>
      <c r="D23" s="4">
        <f>COUNTIFS('Participant Responses'!$F$2:$F$1000,"2",'Participant Responses'!$C$2:$C$1000,"f")</f>
        <v>0</v>
      </c>
      <c r="E23" s="4">
        <f>COUNTIFS('Participant Responses'!$F$2:$F$1000,"2",'Participant Responses'!$B$2:$B$1000,"&lt;=4")</f>
        <v>0</v>
      </c>
      <c r="F23" s="4">
        <f>COUNTIFS('Participant Responses'!$F$2:$F$1000,"2",'Participant Responses'!$B$2:$B$1000,"&gt;=5",'Participant Responses'!$B$2:$B$1000,"&lt;=14")</f>
        <v>0</v>
      </c>
      <c r="G23" s="4">
        <f>COUNTIFS('Participant Responses'!$F$2:$F$1000,"2",'Participant Responses'!$B$2:$B$1000,"&gt;=15",'Participant Responses'!$B$2:$B$1000,"&lt;=19")</f>
        <v>0</v>
      </c>
      <c r="H23" s="4">
        <f>COUNTIFS('Participant Responses'!$F$2:$F$1000,"2",'Participant Responses'!$B$2:$B$1000,"&gt;=20",'Participant Responses'!$B$2:$B$1000,"&lt;=24")</f>
        <v>0</v>
      </c>
      <c r="I23" s="4">
        <f>COUNTIFS('Participant Responses'!$F$2:$F$1000,"2",'Participant Responses'!$B$2:$B$1000,"&gt;=25",'Participant Responses'!$B$2:$B$1000,"&lt;=44")</f>
        <v>0</v>
      </c>
      <c r="J23" s="4">
        <f>COUNTIFS('Participant Responses'!$F$2:$F$1000,"2",'Participant Responses'!$B$2:$B$1000,"&gt;=45",'Participant Responses'!$B$2:$B$1000,"&lt;=54")</f>
        <v>0</v>
      </c>
      <c r="K23" s="4">
        <f>COUNTIFS('Participant Responses'!$F$2:$F$1000,"2",'Participant Responses'!$B$2:$B$1000,"&gt;=55",'Participant Responses'!$B$2:$B$1000,"&lt;=64")</f>
        <v>0</v>
      </c>
      <c r="L23" s="4">
        <f>COUNTIFS('Participant Responses'!$F$2:$F$1000,"2",'Participant Responses'!$B$2:$B$1000,"&gt;=65",'Participant Responses'!$B$2:$B$1000,"&lt;=74")</f>
        <v>0</v>
      </c>
      <c r="M23" s="4">
        <f>COUNTIFS('Participant Responses'!$F$2:$F$1000,"2",'Participant Responses'!$B$2:$B$1000,"&gt;=75",'Participant Responses'!$B$2:$B$1000,"&lt;=84")</f>
        <v>0</v>
      </c>
      <c r="N23" s="4">
        <f>COUNTIFS('Participant Responses'!$F$2:$F$1000,"2",'Participant Responses'!$B$2:$B$1000,"&gt;85")</f>
        <v>0</v>
      </c>
    </row>
    <row r="24" spans="1:14">
      <c r="A24" s="3" t="s">
        <v>49</v>
      </c>
      <c r="B24" s="13">
        <f>COUNTIF('Participant Responses'!$F$2:$F$1000,"3")</f>
        <v>0</v>
      </c>
      <c r="C24" s="7">
        <f>COUNTIFS('Participant Responses'!$F$2:$F$1000,"3",'Participant Responses'!$C$2:$C$1000,"m")</f>
        <v>0</v>
      </c>
      <c r="D24" s="4">
        <f>COUNTIFS('Participant Responses'!$F$2:$F$1000,"3",'Participant Responses'!$C$2:$C$1000,"f")</f>
        <v>0</v>
      </c>
      <c r="E24" s="4">
        <f>COUNTIFS('Participant Responses'!$F$2:$F$1000,"3",'Participant Responses'!$B$2:$B$1000,"&lt;=4")</f>
        <v>0</v>
      </c>
      <c r="F24" s="4">
        <f>COUNTIFS('Participant Responses'!$F$2:$F$1000,"3",'Participant Responses'!$B$2:$B$1000,"&gt;=5",'Participant Responses'!$B$2:$B$1000,"&lt;=14")</f>
        <v>0</v>
      </c>
      <c r="G24" s="4">
        <f>COUNTIFS('Participant Responses'!$F$2:$F$1000,"3",'Participant Responses'!$B$2:$B$1000,"&gt;=15",'Participant Responses'!$B$2:$B$1000,"&lt;=19")</f>
        <v>0</v>
      </c>
      <c r="H24" s="4">
        <f>COUNTIFS('Participant Responses'!$F$2:$F$1000,"3",'Participant Responses'!$B$2:$B$1000,"&gt;=20",'Participant Responses'!$B$2:$B$1000,"&lt;=24")</f>
        <v>0</v>
      </c>
      <c r="I24" s="4">
        <f>COUNTIFS('Participant Responses'!$F$2:$F$1000,"3",'Participant Responses'!$B$2:$B$1000,"&gt;=25",'Participant Responses'!$B$2:$B$1000,"&lt;=44")</f>
        <v>0</v>
      </c>
      <c r="J24" s="4">
        <f>COUNTIFS('Participant Responses'!$F$2:$F$1000,"3",'Participant Responses'!$B$2:$B$1000,"&gt;=45",'Participant Responses'!$B$2:$B$1000,"&lt;=54")</f>
        <v>0</v>
      </c>
      <c r="K24" s="4">
        <f>COUNTIFS('Participant Responses'!$F$2:$F$1000,"3",'Participant Responses'!$B$2:$B$1000,"&gt;=55",'Participant Responses'!$B$2:$B$1000,"&lt;=64")</f>
        <v>0</v>
      </c>
      <c r="L24" s="4">
        <f>COUNTIFS('Participant Responses'!$F$2:$F$1000,"3",'Participant Responses'!$B$2:$B$1000,"&gt;=65",'Participant Responses'!$B$2:$B$1000,"&lt;=74")</f>
        <v>0</v>
      </c>
      <c r="M24" s="4">
        <f>COUNTIFS('Participant Responses'!$F$2:$F$1000,"3",'Participant Responses'!$B$2:$B$1000,"&gt;=75",'Participant Responses'!$B$2:$B$1000,"&lt;=84")</f>
        <v>0</v>
      </c>
      <c r="N24" s="4">
        <f>COUNTIFS('Participant Responses'!$F$2:$F$1000,"3",'Participant Responses'!$B$2:$B$1000,"&gt;85")</f>
        <v>0</v>
      </c>
    </row>
    <row r="25" spans="1:14">
      <c r="A25" s="3" t="s">
        <v>50</v>
      </c>
      <c r="B25" s="13">
        <f>COUNTIF('Participant Responses'!$F$2:$F$1000,"4")</f>
        <v>0</v>
      </c>
      <c r="C25" s="7">
        <f>COUNTIFS('Participant Responses'!$F$2:$F$1000,"4",'Participant Responses'!$C$2:$C$1000,"m")</f>
        <v>0</v>
      </c>
      <c r="D25" s="4">
        <f>COUNTIFS('Participant Responses'!$F$2:$F$1000,"4",'Participant Responses'!$C$2:$C$1000,"f")</f>
        <v>0</v>
      </c>
      <c r="E25" s="4">
        <f>COUNTIFS('Participant Responses'!$F$2:$F$1000,"4",'Participant Responses'!$B$2:$B$1000,"&lt;=4")</f>
        <v>0</v>
      </c>
      <c r="F25" s="4">
        <f>COUNTIFS('Participant Responses'!$F$2:$F$1000,"4",'Participant Responses'!$B$2:$B$1000,"&gt;=5",'Participant Responses'!$B$2:$B$1000,"&lt;=14")</f>
        <v>0</v>
      </c>
      <c r="G25" s="4">
        <f>COUNTIFS('Participant Responses'!$F$2:$F$1000,"4",'Participant Responses'!$B$2:$B$1000,"&gt;=15",'Participant Responses'!$B$2:$B$1000,"&lt;=19")</f>
        <v>0</v>
      </c>
      <c r="H25" s="4">
        <f>COUNTIFS('Participant Responses'!$F$2:$F$1000,"4",'Participant Responses'!$B$2:$B$1000,"&gt;=20",'Participant Responses'!$B$2:$B$1000,"&lt;=24")</f>
        <v>0</v>
      </c>
      <c r="I25" s="4">
        <f>COUNTIFS('Participant Responses'!$F$2:$F$1000,"4",'Participant Responses'!$B$2:$B$1000,"&gt;=25",'Participant Responses'!$B$2:$B$1000,"&lt;=44")</f>
        <v>0</v>
      </c>
      <c r="J25" s="4">
        <f>COUNTIFS('Participant Responses'!$F$2:$F$1000,"4",'Participant Responses'!$B$2:$B$1000,"&gt;=45",'Participant Responses'!$B$2:$B$1000,"&lt;=54")</f>
        <v>0</v>
      </c>
      <c r="K25" s="4">
        <f>COUNTIFS('Participant Responses'!$F$2:$F$1000,"4",'Participant Responses'!$B$2:$B$1000,"&gt;=55",'Participant Responses'!$B$2:$B$1000,"&lt;=64")</f>
        <v>0</v>
      </c>
      <c r="L25" s="4">
        <f>COUNTIFS('Participant Responses'!$F$2:$F$1000,"4",'Participant Responses'!$B$2:$B$1000,"&gt;=65",'Participant Responses'!$B$2:$B$1000,"&lt;=74")</f>
        <v>0</v>
      </c>
      <c r="M25" s="4">
        <f>COUNTIFS('Participant Responses'!$F$2:$F$1000,"4",'Participant Responses'!$B$2:$B$1000,"&gt;=75",'Participant Responses'!$B$2:$B$1000,"&lt;=84")</f>
        <v>0</v>
      </c>
      <c r="N25" s="4">
        <f>COUNTIFS('Participant Responses'!$F$2:$F$1000,"4",'Participant Responses'!$B$2:$B$1000,"&gt;85")</f>
        <v>0</v>
      </c>
    </row>
    <row r="26" spans="1:14">
      <c r="A26" s="3" t="s">
        <v>51</v>
      </c>
      <c r="B26" s="13">
        <f>COUNTIF('Participant Responses'!$F$2:$F$1000,"5")</f>
        <v>0</v>
      </c>
      <c r="C26" s="7">
        <f>COUNTIFS('Participant Responses'!$F$2:$F$1000,"5",'Participant Responses'!$C$2:$C$1000,"m")</f>
        <v>0</v>
      </c>
      <c r="D26" s="4">
        <f>COUNTIFS('Participant Responses'!$F$2:$F$1000,"5",'Participant Responses'!$C$2:$C$1000,"f")</f>
        <v>0</v>
      </c>
      <c r="E26" s="4">
        <f>COUNTIFS('Participant Responses'!$F$2:$F$1000,"5",'Participant Responses'!$B$2:$B$1000,"&lt;=4")</f>
        <v>0</v>
      </c>
      <c r="F26" s="4">
        <f>COUNTIFS('Participant Responses'!$F$2:$F$1000,"5",'Participant Responses'!$B$2:$B$1000,"&gt;=5",'Participant Responses'!$B$2:$B$1000,"&lt;=14")</f>
        <v>0</v>
      </c>
      <c r="G26" s="4">
        <f>COUNTIFS('Participant Responses'!$F$2:$F$1000,"5",'Participant Responses'!$B$2:$B$1000,"&gt;=15",'Participant Responses'!$B$2:$B$1000,"&lt;=19")</f>
        <v>0</v>
      </c>
      <c r="H26" s="4">
        <f>COUNTIFS('Participant Responses'!$F$2:$F$1000,"5",'Participant Responses'!$B$2:$B$1000,"&gt;=20",'Participant Responses'!$B$2:$B$1000,"&lt;=24")</f>
        <v>0</v>
      </c>
      <c r="I26" s="4">
        <f>COUNTIFS('Participant Responses'!$F$2:$F$1000,"5",'Participant Responses'!$B$2:$B$1000,"&gt;=25",'Participant Responses'!$B$2:$B$1000,"&lt;=44")</f>
        <v>0</v>
      </c>
      <c r="J26" s="4">
        <f>COUNTIFS('Participant Responses'!$F$2:$F$1000,"5",'Participant Responses'!$B$2:$B$1000,"&gt;=45",'Participant Responses'!$B$2:$B$1000,"&lt;=54")</f>
        <v>0</v>
      </c>
      <c r="K26" s="4">
        <f>COUNTIFS('Participant Responses'!$F$2:$F$1000,"5",'Participant Responses'!$B$2:$B$1000,"&gt;=55",'Participant Responses'!$B$2:$B$1000,"&lt;=64")</f>
        <v>0</v>
      </c>
      <c r="L26" s="4">
        <f>COUNTIFS('Participant Responses'!$F$2:$F$1000,"5",'Participant Responses'!$B$2:$B$1000,"&gt;=65",'Participant Responses'!$B$2:$B$1000,"&lt;=74")</f>
        <v>0</v>
      </c>
      <c r="M26" s="4">
        <f>COUNTIFS('Participant Responses'!$F$2:$F$1000,"5",'Participant Responses'!$B$2:$B$1000,"&gt;=75",'Participant Responses'!$B$2:$B$1000,"&lt;=84")</f>
        <v>0</v>
      </c>
      <c r="N26" s="4">
        <f>COUNTIFS('Participant Responses'!$F$2:$F$1000,"5",'Participant Responses'!$B$2:$B$1000,"&gt;85")</f>
        <v>0</v>
      </c>
    </row>
    <row r="28" spans="1:14" ht="60">
      <c r="A28" s="8" t="s">
        <v>52</v>
      </c>
      <c r="B28" s="11" t="s">
        <v>15</v>
      </c>
      <c r="C28" s="23" t="s">
        <v>2</v>
      </c>
      <c r="D28" s="24"/>
      <c r="E28" s="24" t="s">
        <v>5</v>
      </c>
      <c r="F28" s="24"/>
      <c r="G28" s="24"/>
      <c r="H28" s="24"/>
      <c r="I28" s="24"/>
      <c r="J28" s="24"/>
      <c r="K28" s="24"/>
      <c r="L28" s="24"/>
      <c r="M28" s="24"/>
      <c r="N28" s="24"/>
    </row>
    <row r="29" spans="1:14">
      <c r="A29" s="3"/>
      <c r="B29" s="13"/>
      <c r="C29" s="7" t="s">
        <v>13</v>
      </c>
      <c r="D29" s="4" t="s">
        <v>14</v>
      </c>
      <c r="E29" s="3" t="s">
        <v>6</v>
      </c>
      <c r="F29" s="3" t="s">
        <v>17</v>
      </c>
      <c r="G29" s="3" t="s">
        <v>7</v>
      </c>
      <c r="H29" s="3" t="s">
        <v>8</v>
      </c>
      <c r="I29" s="3" t="s">
        <v>9</v>
      </c>
      <c r="J29" s="3" t="s">
        <v>10</v>
      </c>
      <c r="K29" s="3" t="s">
        <v>11</v>
      </c>
      <c r="L29" s="3" t="s">
        <v>18</v>
      </c>
      <c r="M29" s="3" t="s">
        <v>12</v>
      </c>
      <c r="N29" s="3" t="s">
        <v>16</v>
      </c>
    </row>
    <row r="30" spans="1:14">
      <c r="A30" s="9" t="s">
        <v>47</v>
      </c>
      <c r="B30" s="12">
        <f>COUNTIF('Participant Responses'!$G$2:$G$1000,"1")</f>
        <v>0</v>
      </c>
      <c r="C30" s="10">
        <f>COUNTIFS('Participant Responses'!$G$2:$G$1000,"1",'Participant Responses'!$C$2:$C$1000,"m")</f>
        <v>0</v>
      </c>
      <c r="D30" s="4">
        <f>COUNTIFS('Participant Responses'!$G$2:$G$1000,"1",'Participant Responses'!$C$2:$C$1000,"f")</f>
        <v>0</v>
      </c>
      <c r="E30" s="5">
        <f>COUNTIFS('Participant Responses'!$G$2:$G$1000,"1",'Participant Responses'!$B$2:$B$1000,"&lt;=4")</f>
        <v>0</v>
      </c>
      <c r="F30" s="4">
        <f>COUNTIFS('Participant Responses'!$G$2:$G$1000,"1",'Participant Responses'!$B$2:$B$1000,"&gt;=5",'Participant Responses'!$B$2:$B$1000,"&lt;=14")</f>
        <v>0</v>
      </c>
      <c r="G30" s="4">
        <f>COUNTIFS('Participant Responses'!$G$2:$G$1000,"1",'Participant Responses'!$B$2:$B$1000,"&gt;=15",'Participant Responses'!$B$2:$B$1000,"&lt;=19")</f>
        <v>0</v>
      </c>
      <c r="H30" s="4">
        <f>COUNTIFS('Participant Responses'!$G$2:$G$1000,"1",'Participant Responses'!$B$2:$B$1000,"&gt;=20",'Participant Responses'!$B$2:$B$1000,"&lt;=24")</f>
        <v>0</v>
      </c>
      <c r="I30" s="4">
        <f>COUNTIFS('Participant Responses'!$G$2:$G$1000,"1",'Participant Responses'!$B$2:$B$1000,"&gt;=25",'Participant Responses'!$B$2:$B$1000,"&lt;=44")</f>
        <v>0</v>
      </c>
      <c r="J30" s="4">
        <f>COUNTIFS('Participant Responses'!$G$2:$G$1000,"1",'Participant Responses'!$B$2:$B$1000,"&gt;=45",'Participant Responses'!$B$2:$B$1000,"&lt;=54")</f>
        <v>0</v>
      </c>
      <c r="K30" s="4">
        <f>COUNTIFS('Participant Responses'!$G$2:$G$1000,"1",'Participant Responses'!$B$2:$B$1000,"&gt;=55",'Participant Responses'!$B$2:$B$1000,"&lt;=64")</f>
        <v>0</v>
      </c>
      <c r="L30" s="4">
        <f>COUNTIFS('Participant Responses'!$G$2:$G$1000,"1",'Participant Responses'!$B$2:$B$1000,"&gt;=65",'Participant Responses'!$B$2:$B$1000,"&lt;=74")</f>
        <v>0</v>
      </c>
      <c r="M30" s="4">
        <f>COUNTIFS('Participant Responses'!$G$2:$G$1000,"1",'Participant Responses'!$B$2:$B$1000,"&gt;=75",'Participant Responses'!$B$2:$B$1000,"&lt;=84")</f>
        <v>0</v>
      </c>
      <c r="N30" s="4">
        <f>COUNTIFS('Participant Responses'!$G$2:$G$1000,"1",'Participant Responses'!$B$2:$B$1000,"&gt;=85")</f>
        <v>0</v>
      </c>
    </row>
    <row r="31" spans="1:14">
      <c r="A31" s="3" t="s">
        <v>48</v>
      </c>
      <c r="B31" s="13">
        <f>COUNTIF('Participant Responses'!$G$2:$G$1000,"2")</f>
        <v>0</v>
      </c>
      <c r="C31" s="7">
        <f>COUNTIFS('Participant Responses'!$G$2:$G$1000,"2",'Participant Responses'!$C$2:$C$1000,"m")</f>
        <v>0</v>
      </c>
      <c r="D31" s="4">
        <f>COUNTIFS('Participant Responses'!$G$2:$G$1000,"2",'Participant Responses'!$C$2:$C$1000,"f")</f>
        <v>0</v>
      </c>
      <c r="E31" s="4">
        <f>COUNTIFS('Participant Responses'!$G$2:$G$1000,"2",'Participant Responses'!$B$2:$B$1000,"&lt;=4")</f>
        <v>0</v>
      </c>
      <c r="F31" s="4">
        <f>COUNTIFS('Participant Responses'!$G$2:$G$1000,"2",'Participant Responses'!$B$2:$B$1000,"&gt;=5",'Participant Responses'!$B$2:$B$1000,"&lt;=14")</f>
        <v>0</v>
      </c>
      <c r="G31" s="4">
        <f>COUNTIFS('Participant Responses'!$G$2:$G$1000,"2",'Participant Responses'!$B$2:$B$1000,"&gt;=15",'Participant Responses'!$B$2:$B$1000,"&lt;=19")</f>
        <v>0</v>
      </c>
      <c r="H31" s="4">
        <f>COUNTIFS('Participant Responses'!$G$2:$G$1000,"2",'Participant Responses'!$B$2:$B$1000,"&gt;=20",'Participant Responses'!$B$2:$B$1000,"&lt;=24")</f>
        <v>0</v>
      </c>
      <c r="I31" s="4">
        <f>COUNTIFS('Participant Responses'!$G$2:$G$1000,"2",'Participant Responses'!$B$2:$B$1000,"&gt;=25",'Participant Responses'!$B$2:$B$1000,"&lt;=44")</f>
        <v>0</v>
      </c>
      <c r="J31" s="4">
        <f>COUNTIFS('Participant Responses'!$G$2:$G$1000,"2",'Participant Responses'!$B$2:$B$1000,"&gt;=45",'Participant Responses'!$B$2:$B$1000,"&lt;=54")</f>
        <v>0</v>
      </c>
      <c r="K31" s="4">
        <f>COUNTIFS('Participant Responses'!$G$2:$G$1000,"2",'Participant Responses'!$B$2:$B$1000,"&gt;=55",'Participant Responses'!$B$2:$B$1000,"&lt;=64")</f>
        <v>0</v>
      </c>
      <c r="L31" s="4">
        <f>COUNTIFS('Participant Responses'!$G$2:$G$1000,"2",'Participant Responses'!$B$2:$B$1000,"&gt;=65",'Participant Responses'!$B$2:$B$1000,"&lt;=74")</f>
        <v>0</v>
      </c>
      <c r="M31" s="4">
        <f>COUNTIFS('Participant Responses'!$G$2:$G$1000,"2",'Participant Responses'!$B$2:$B$1000,"&gt;=75",'Participant Responses'!$B$2:$B$1000,"&lt;=84")</f>
        <v>0</v>
      </c>
      <c r="N31" s="4">
        <f>COUNTIFS('Participant Responses'!$G$2:$G$1000,"2",'Participant Responses'!$B$2:$B$1000,"&gt;85")</f>
        <v>0</v>
      </c>
    </row>
    <row r="32" spans="1:14">
      <c r="A32" s="3" t="s">
        <v>49</v>
      </c>
      <c r="B32" s="13">
        <f>COUNTIF('Participant Responses'!$G$2:$G$1000,"3")</f>
        <v>0</v>
      </c>
      <c r="C32" s="7">
        <f>COUNTIFS('Participant Responses'!$G$2:$G$1000,"3",'Participant Responses'!$C$2:$C$1000,"m")</f>
        <v>0</v>
      </c>
      <c r="D32" s="4">
        <f>COUNTIFS('Participant Responses'!$G$2:$G$1000,"3",'Participant Responses'!$C$2:$C$1000,"f")</f>
        <v>0</v>
      </c>
      <c r="E32" s="4">
        <f>COUNTIFS('Participant Responses'!$G$2:$G$1000,"3",'Participant Responses'!$B$2:$B$1000,"&lt;=4")</f>
        <v>0</v>
      </c>
      <c r="F32" s="4">
        <f>COUNTIFS('Participant Responses'!$G$2:$G$1000,"3",'Participant Responses'!$B$2:$B$1000,"&gt;=5",'Participant Responses'!$B$2:$B$1000,"&lt;=14")</f>
        <v>0</v>
      </c>
      <c r="G32" s="4">
        <f>COUNTIFS('Participant Responses'!$G$2:$G$1000,"3",'Participant Responses'!$B$2:$B$1000,"&gt;=15",'Participant Responses'!$B$2:$B$1000,"&lt;=19")</f>
        <v>0</v>
      </c>
      <c r="H32" s="4">
        <f>COUNTIFS('Participant Responses'!$G$2:$G$1000,"3",'Participant Responses'!$B$2:$B$1000,"&gt;=20",'Participant Responses'!$B$2:$B$1000,"&lt;=24")</f>
        <v>0</v>
      </c>
      <c r="I32" s="4">
        <f>COUNTIFS('Participant Responses'!$G$2:$G$1000,"3",'Participant Responses'!$B$2:$B$1000,"&gt;=25",'Participant Responses'!$B$2:$B$1000,"&lt;=44")</f>
        <v>0</v>
      </c>
      <c r="J32" s="4">
        <f>COUNTIFS('Participant Responses'!$G$2:$G$1000,"3",'Participant Responses'!$B$2:$B$1000,"&gt;=45",'Participant Responses'!$B$2:$B$1000,"&lt;=54")</f>
        <v>0</v>
      </c>
      <c r="K32" s="4">
        <f>COUNTIFS('Participant Responses'!$G$2:$G$1000,"3",'Participant Responses'!$B$2:$B$1000,"&gt;=55",'Participant Responses'!$B$2:$B$1000,"&lt;=64")</f>
        <v>0</v>
      </c>
      <c r="L32" s="4">
        <f>COUNTIFS('Participant Responses'!$G$2:$G$1000,"3",'Participant Responses'!$B$2:$B$1000,"&gt;=65",'Participant Responses'!$B$2:$B$1000,"&lt;=74")</f>
        <v>0</v>
      </c>
      <c r="M32" s="4">
        <f>COUNTIFS('Participant Responses'!$G$2:$G$1000,"3",'Participant Responses'!$B$2:$B$1000,"&gt;=75",'Participant Responses'!$B$2:$B$1000,"&lt;=84")</f>
        <v>0</v>
      </c>
      <c r="N32" s="4">
        <f>COUNTIFS('Participant Responses'!$G$2:$G$1000,"3",'Participant Responses'!$B$2:$B$1000,"&gt;85")</f>
        <v>0</v>
      </c>
    </row>
    <row r="33" spans="1:14">
      <c r="A33" s="3" t="s">
        <v>50</v>
      </c>
      <c r="B33" s="13">
        <f>COUNTIF('Participant Responses'!$G$2:$G$1000,"4")</f>
        <v>0</v>
      </c>
      <c r="C33" s="7">
        <f>COUNTIFS('Participant Responses'!$G$2:$G$1000,"4",'Participant Responses'!$C$2:$C$1000,"m")</f>
        <v>0</v>
      </c>
      <c r="D33" s="4">
        <f>COUNTIFS('Participant Responses'!$G$2:$G$1000,"4",'Participant Responses'!$C$2:$C$1000,"f")</f>
        <v>0</v>
      </c>
      <c r="E33" s="4">
        <f>COUNTIFS('Participant Responses'!$G$2:$G$1000,"4",'Participant Responses'!$B$2:$B$1000,"&lt;=4")</f>
        <v>0</v>
      </c>
      <c r="F33" s="4">
        <f>COUNTIFS('Participant Responses'!$G$2:$G$1000,"4",'Participant Responses'!$B$2:$B$1000,"&gt;=5",'Participant Responses'!$B$2:$B$1000,"&lt;=14")</f>
        <v>0</v>
      </c>
      <c r="G33" s="4">
        <f>COUNTIFS('Participant Responses'!$G$2:$G$1000,"4",'Participant Responses'!$B$2:$B$1000,"&gt;=15",'Participant Responses'!$B$2:$B$1000,"&lt;=19")</f>
        <v>0</v>
      </c>
      <c r="H33" s="4">
        <f>COUNTIFS('Participant Responses'!$G$2:$G$1000,"4",'Participant Responses'!$B$2:$B$1000,"&gt;=20",'Participant Responses'!$B$2:$B$1000,"&lt;=24")</f>
        <v>0</v>
      </c>
      <c r="I33" s="4">
        <f>COUNTIFS('Participant Responses'!$G$2:$G$1000,"4",'Participant Responses'!$B$2:$B$1000,"&gt;=25",'Participant Responses'!$B$2:$B$1000,"&lt;=44")</f>
        <v>0</v>
      </c>
      <c r="J33" s="4">
        <f>COUNTIFS('Participant Responses'!$G$2:$G$1000,"4",'Participant Responses'!$B$2:$B$1000,"&gt;=45",'Participant Responses'!$B$2:$B$1000,"&lt;=54")</f>
        <v>0</v>
      </c>
      <c r="K33" s="4">
        <f>COUNTIFS('Participant Responses'!$G$2:$G$1000,"4",'Participant Responses'!$B$2:$B$1000,"&gt;=55",'Participant Responses'!$B$2:$B$1000,"&lt;=64")</f>
        <v>0</v>
      </c>
      <c r="L33" s="4">
        <f>COUNTIFS('Participant Responses'!$G$2:$G$1000,"4",'Participant Responses'!$B$2:$B$1000,"&gt;=65",'Participant Responses'!$B$2:$B$1000,"&lt;=74")</f>
        <v>0</v>
      </c>
      <c r="M33" s="4">
        <f>COUNTIFS('Participant Responses'!$G$2:$G$1000,"4",'Participant Responses'!$B$2:$B$1000,"&gt;=75",'Participant Responses'!$B$2:$B$1000,"&lt;=84")</f>
        <v>0</v>
      </c>
      <c r="N33" s="4">
        <f>COUNTIFS('Participant Responses'!$G$2:$G$1000,"4",'Participant Responses'!$B$2:$B$1000,"&gt;85")</f>
        <v>0</v>
      </c>
    </row>
    <row r="34" spans="1:14" ht="13" customHeight="1">
      <c r="A34" s="3" t="s">
        <v>51</v>
      </c>
      <c r="B34" s="13">
        <f>COUNTIF('Participant Responses'!$G$2:$G$1000,"5")</f>
        <v>0</v>
      </c>
      <c r="C34" s="7">
        <f>COUNTIFS('Participant Responses'!$G$2:$G$1000,"5",'Participant Responses'!$C$2:$C$1000,"m")</f>
        <v>0</v>
      </c>
      <c r="D34" s="4">
        <f>COUNTIFS('Participant Responses'!$G$2:$G$1000,"5",'Participant Responses'!$C$2:$C$1000,"f")</f>
        <v>0</v>
      </c>
      <c r="E34" s="4">
        <f>COUNTIFS('Participant Responses'!$G$2:$G$1000,"5",'Participant Responses'!$B$2:$B$1000,"&lt;=4")</f>
        <v>0</v>
      </c>
      <c r="F34" s="4">
        <f>COUNTIFS('Participant Responses'!$G$2:$G$1000,"5",'Participant Responses'!$B$2:$B$1000,"&gt;=5",'Participant Responses'!$B$2:$B$1000,"&lt;=14")</f>
        <v>0</v>
      </c>
      <c r="G34" s="4">
        <f>COUNTIFS('Participant Responses'!$G$2:$G$1000,"5",'Participant Responses'!$B$2:$B$1000,"&gt;=15",'Participant Responses'!$B$2:$B$1000,"&lt;=19")</f>
        <v>0</v>
      </c>
      <c r="H34" s="4">
        <f>COUNTIFS('Participant Responses'!$G$2:$G$1000,"5",'Participant Responses'!$B$2:$B$1000,"&gt;=20",'Participant Responses'!$B$2:$B$1000,"&lt;=24")</f>
        <v>0</v>
      </c>
      <c r="I34" s="4">
        <f>COUNTIFS('Participant Responses'!$G$2:$G$1000,"5",'Participant Responses'!$B$2:$B$1000,"&gt;=25",'Participant Responses'!$B$2:$B$1000,"&lt;=44")</f>
        <v>0</v>
      </c>
      <c r="J34" s="4">
        <f>COUNTIFS('Participant Responses'!$G$2:$G$1000,"5",'Participant Responses'!$B$2:$B$1000,"&gt;=45",'Participant Responses'!$B$2:$B$1000,"&lt;=54")</f>
        <v>0</v>
      </c>
      <c r="K34" s="4">
        <f>COUNTIFS('Participant Responses'!$G$2:$G$1000,"5",'Participant Responses'!$B$2:$B$1000,"&gt;=55",'Participant Responses'!$B$2:$B$1000,"&lt;=64")</f>
        <v>0</v>
      </c>
      <c r="L34" s="4">
        <f>COUNTIFS('Participant Responses'!$G$2:$G$1000,"5",'Participant Responses'!$B$2:$B$1000,"&gt;=65",'Participant Responses'!$B$2:$B$1000,"&lt;=74")</f>
        <v>0</v>
      </c>
      <c r="M34" s="4">
        <f>COUNTIFS('Participant Responses'!$G$2:$G$1000,"5",'Participant Responses'!$B$2:$B$1000,"&gt;=75",'Participant Responses'!$B$2:$B$1000,"&lt;=84")</f>
        <v>0</v>
      </c>
      <c r="N34" s="4">
        <f>COUNTIFS('Participant Responses'!$G$2:$G$1000,"5",'Participant Responses'!$B$2:$B$1000,"&gt;85")</f>
        <v>0</v>
      </c>
    </row>
    <row r="35" spans="1:14" ht="13" customHeight="1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30">
      <c r="A36" s="8" t="s">
        <v>53</v>
      </c>
      <c r="B36" s="11" t="s">
        <v>15</v>
      </c>
      <c r="C36" s="23" t="s">
        <v>2</v>
      </c>
      <c r="D36" s="24"/>
      <c r="E36" s="24" t="s">
        <v>5</v>
      </c>
      <c r="F36" s="24"/>
      <c r="G36" s="24"/>
      <c r="H36" s="24"/>
      <c r="I36" s="24"/>
      <c r="J36" s="24"/>
      <c r="K36" s="24"/>
      <c r="L36" s="24"/>
      <c r="M36" s="24"/>
      <c r="N36" s="24"/>
    </row>
    <row r="37" spans="1:14">
      <c r="A37" s="3"/>
      <c r="B37" s="13"/>
      <c r="C37" s="7" t="s">
        <v>13</v>
      </c>
      <c r="D37" s="4" t="s">
        <v>14</v>
      </c>
      <c r="E37" s="3" t="s">
        <v>6</v>
      </c>
      <c r="F37" s="3" t="s">
        <v>17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18</v>
      </c>
      <c r="M37" s="3" t="s">
        <v>12</v>
      </c>
      <c r="N37" s="3" t="s">
        <v>16</v>
      </c>
    </row>
    <row r="38" spans="1:14">
      <c r="A38" s="9" t="s">
        <v>47</v>
      </c>
      <c r="B38" s="12">
        <f>COUNTIF('Participant Responses'!$H$2:$H$1000,"1")</f>
        <v>0</v>
      </c>
      <c r="C38" s="10">
        <f>COUNTIFS('Participant Responses'!$H$2:$H$1000,"1",'Participant Responses'!$C$2:$C$1000,"m")</f>
        <v>0</v>
      </c>
      <c r="D38" s="4">
        <f>COUNTIFS('Participant Responses'!$H$2:$H$1000,"1",'Participant Responses'!$C$2:$C$1000,"f")</f>
        <v>0</v>
      </c>
      <c r="E38" s="5">
        <f>COUNTIFS('Participant Responses'!$H$2:$H$1000,"1",'Participant Responses'!$B$2:$B$1000,"&lt;=4")</f>
        <v>0</v>
      </c>
      <c r="F38" s="4">
        <f>COUNTIFS('Participant Responses'!$H$2:$H$1000,"1",'Participant Responses'!$B$2:$B$1000,"&gt;=5",'Participant Responses'!$B$2:$B$1000,"&lt;=14")</f>
        <v>0</v>
      </c>
      <c r="G38" s="4">
        <f>COUNTIFS('Participant Responses'!$H$2:$H$1000,"1",'Participant Responses'!$B$2:$B$1000,"&gt;=15",'Participant Responses'!$B$2:$B$1000,"&lt;=19")</f>
        <v>0</v>
      </c>
      <c r="H38" s="4">
        <f>COUNTIFS('Participant Responses'!$H$2:$H$1000,"1",'Participant Responses'!$B$2:$B$1000,"&gt;=20",'Participant Responses'!$B$2:$B$1000,"&lt;=24")</f>
        <v>0</v>
      </c>
      <c r="I38" s="4">
        <f>COUNTIFS('Participant Responses'!$H$2:$H$1000,"1",'Participant Responses'!$B$2:$B$1000,"&gt;=25",'Participant Responses'!$B$2:$B$1000,"&lt;=44")</f>
        <v>0</v>
      </c>
      <c r="J38" s="4">
        <f>COUNTIFS('Participant Responses'!$H$2:$H$1000,"1",'Participant Responses'!$B$2:$B$1000,"&gt;=45",'Participant Responses'!$B$2:$B$1000,"&lt;=54")</f>
        <v>0</v>
      </c>
      <c r="K38" s="4">
        <f>COUNTIFS('Participant Responses'!$H$2:$H$1000,"1",'Participant Responses'!$B$2:$B$1000,"&gt;=55",'Participant Responses'!$B$2:$B$1000,"&lt;=64")</f>
        <v>0</v>
      </c>
      <c r="L38" s="4">
        <f>COUNTIFS('Participant Responses'!$H$2:$H$1000,"1",'Participant Responses'!$B$2:$B$1000,"&gt;=65",'Participant Responses'!$B$2:$B$1000,"&lt;=74")</f>
        <v>0</v>
      </c>
      <c r="M38" s="4">
        <f>COUNTIFS('Participant Responses'!$H$2:$H$1000,"1",'Participant Responses'!$B$2:$B$1000,"&gt;=75",'Participant Responses'!$B$2:$B$1000,"&lt;=84")</f>
        <v>0</v>
      </c>
      <c r="N38" s="4">
        <f>COUNTIFS('Participant Responses'!$H$2:$H$1000,"1",'Participant Responses'!$B$2:$B$1000,"&gt;=85")</f>
        <v>0</v>
      </c>
    </row>
    <row r="39" spans="1:14">
      <c r="A39" s="3" t="s">
        <v>48</v>
      </c>
      <c r="B39" s="13">
        <f>COUNTIF('Participant Responses'!$H$2:$H$1000,"2")</f>
        <v>0</v>
      </c>
      <c r="C39" s="7">
        <f>COUNTIFS('Participant Responses'!$H$2:$H$1000,"2",'Participant Responses'!$C$2:$C$1000,"m")</f>
        <v>0</v>
      </c>
      <c r="D39" s="4">
        <f>COUNTIFS('Participant Responses'!$H$2:$H$1000,"2",'Participant Responses'!$C$2:$C$1000,"f")</f>
        <v>0</v>
      </c>
      <c r="E39" s="4">
        <f>COUNTIFS('Participant Responses'!$H$2:$H$1000,"2",'Participant Responses'!$B$2:$B$1000,"&lt;=4")</f>
        <v>0</v>
      </c>
      <c r="F39" s="4">
        <f>COUNTIFS('Participant Responses'!$H$2:$H$1000,"2",'Participant Responses'!$B$2:$B$1000,"&gt;=5",'Participant Responses'!$B$2:$B$1000,"&lt;=14")</f>
        <v>0</v>
      </c>
      <c r="G39" s="4">
        <f>COUNTIFS('Participant Responses'!$H$2:$H$1000,"2",'Participant Responses'!$B$2:$B$1000,"&gt;=15",'Participant Responses'!$B$2:$B$1000,"&lt;=19")</f>
        <v>0</v>
      </c>
      <c r="H39" s="4">
        <f>COUNTIFS('Participant Responses'!$H$2:$H$1000,"2",'Participant Responses'!$B$2:$B$1000,"&gt;=20",'Participant Responses'!$B$2:$B$1000,"&lt;=24")</f>
        <v>0</v>
      </c>
      <c r="I39" s="4">
        <f>COUNTIFS('Participant Responses'!$H$2:$H$1000,"2",'Participant Responses'!$B$2:$B$1000,"&gt;=25",'Participant Responses'!$B$2:$B$1000,"&lt;=44")</f>
        <v>0</v>
      </c>
      <c r="J39" s="4">
        <f>COUNTIFS('Participant Responses'!$H$2:$H$1000,"2",'Participant Responses'!$B$2:$B$1000,"&gt;=45",'Participant Responses'!$B$2:$B$1000,"&lt;=54")</f>
        <v>0</v>
      </c>
      <c r="K39" s="4">
        <f>COUNTIFS('Participant Responses'!$H$2:$H$1000,"2",'Participant Responses'!$B$2:$B$1000,"&gt;=55",'Participant Responses'!$B$2:$B$1000,"&lt;=64")</f>
        <v>0</v>
      </c>
      <c r="L39" s="4">
        <f>COUNTIFS('Participant Responses'!$H$2:$H$1000,"2",'Participant Responses'!$B$2:$B$1000,"&gt;=65",'Participant Responses'!$B$2:$B$1000,"&lt;=74")</f>
        <v>0</v>
      </c>
      <c r="M39" s="4">
        <f>COUNTIFS('Participant Responses'!$H$2:$H$1000,"2",'Participant Responses'!$B$2:$B$1000,"&gt;=75",'Participant Responses'!$B$2:$B$1000,"&lt;=84")</f>
        <v>0</v>
      </c>
      <c r="N39" s="4">
        <f>COUNTIFS('Participant Responses'!$H$2:$H$1000,"2",'Participant Responses'!$B$2:$B$1000,"&gt;85")</f>
        <v>0</v>
      </c>
    </row>
    <row r="40" spans="1:14">
      <c r="A40" s="3" t="s">
        <v>49</v>
      </c>
      <c r="B40" s="13">
        <f>COUNTIF('Participant Responses'!$H$2:$H$1000,"3")</f>
        <v>0</v>
      </c>
      <c r="C40" s="7">
        <f>COUNTIFS('Participant Responses'!$H$2:$H$1000,"3",'Participant Responses'!$C$2:$C$1000,"m")</f>
        <v>0</v>
      </c>
      <c r="D40" s="4">
        <f>COUNTIFS('Participant Responses'!$H$2:$H$1000,"3",'Participant Responses'!$C$2:$C$1000,"f")</f>
        <v>0</v>
      </c>
      <c r="E40" s="4">
        <f>COUNTIFS('Participant Responses'!$H$2:$H$1000,"3",'Participant Responses'!$B$2:$B$1000,"&lt;=4")</f>
        <v>0</v>
      </c>
      <c r="F40" s="4">
        <f>COUNTIFS('Participant Responses'!$H$2:$H$1000,"3",'Participant Responses'!$B$2:$B$1000,"&gt;=5",'Participant Responses'!$B$2:$B$1000,"&lt;=14")</f>
        <v>0</v>
      </c>
      <c r="G40" s="4">
        <f>COUNTIFS('Participant Responses'!$H$2:$H$1000,"3",'Participant Responses'!$B$2:$B$1000,"&gt;=15",'Participant Responses'!$B$2:$B$1000,"&lt;=19")</f>
        <v>0</v>
      </c>
      <c r="H40" s="4">
        <f>COUNTIFS('Participant Responses'!$H$2:$H$1000,"3",'Participant Responses'!$B$2:$B$1000,"&gt;=20",'Participant Responses'!$B$2:$B$1000,"&lt;=24")</f>
        <v>0</v>
      </c>
      <c r="I40" s="4">
        <f>COUNTIFS('Participant Responses'!$H$2:$H$1000,"3",'Participant Responses'!$B$2:$B$1000,"&gt;=25",'Participant Responses'!$B$2:$B$1000,"&lt;=44")</f>
        <v>0</v>
      </c>
      <c r="J40" s="4">
        <f>COUNTIFS('Participant Responses'!$H$2:$H$1000,"3",'Participant Responses'!$B$2:$B$1000,"&gt;=45",'Participant Responses'!$B$2:$B$1000,"&lt;=54")</f>
        <v>0</v>
      </c>
      <c r="K40" s="4">
        <f>COUNTIFS('Participant Responses'!$H$2:$H$1000,"3",'Participant Responses'!$B$2:$B$1000,"&gt;=55",'Participant Responses'!$B$2:$B$1000,"&lt;=64")</f>
        <v>0</v>
      </c>
      <c r="L40" s="4">
        <f>COUNTIFS('Participant Responses'!$H$2:$H$1000,"3",'Participant Responses'!$B$2:$B$1000,"&gt;=65",'Participant Responses'!$B$2:$B$1000,"&lt;=74")</f>
        <v>0</v>
      </c>
      <c r="M40" s="4">
        <f>COUNTIFS('Participant Responses'!$H$2:$H$1000,"3",'Participant Responses'!$B$2:$B$1000,"&gt;=75",'Participant Responses'!$B$2:$B$1000,"&lt;=84")</f>
        <v>0</v>
      </c>
      <c r="N40" s="4">
        <f>COUNTIFS('Participant Responses'!$H$2:$H$1000,"3",'Participant Responses'!$B$2:$B$1000,"&gt;85")</f>
        <v>0</v>
      </c>
    </row>
    <row r="41" spans="1:14" ht="15" customHeight="1">
      <c r="A41" s="3" t="s">
        <v>50</v>
      </c>
      <c r="B41" s="13">
        <f>COUNTIF('Participant Responses'!$H$2:$H$1000,"4")</f>
        <v>0</v>
      </c>
      <c r="C41" s="7">
        <f>COUNTIFS('Participant Responses'!$H$2:$H$1000,"4",'Participant Responses'!$C$2:$C$1000,"m")</f>
        <v>0</v>
      </c>
      <c r="D41" s="4">
        <f>COUNTIFS('Participant Responses'!$H$2:$H$1000,"4",'Participant Responses'!$C$2:$C$1000,"f")</f>
        <v>0</v>
      </c>
      <c r="E41" s="4">
        <f>COUNTIFS('Participant Responses'!$H$2:$H$1000,"4",'Participant Responses'!$B$2:$B$1000,"&lt;=4")</f>
        <v>0</v>
      </c>
      <c r="F41" s="4">
        <f>COUNTIFS('Participant Responses'!$H$2:$H$1000,"4",'Participant Responses'!$B$2:$B$1000,"&gt;=5",'Participant Responses'!$B$2:$B$1000,"&lt;=14")</f>
        <v>0</v>
      </c>
      <c r="G41" s="4">
        <f>COUNTIFS('Participant Responses'!$H$2:$H$1000,"4",'Participant Responses'!$B$2:$B$1000,"&gt;=15",'Participant Responses'!$B$2:$B$1000,"&lt;=19")</f>
        <v>0</v>
      </c>
      <c r="H41" s="4">
        <f>COUNTIFS('Participant Responses'!$H$2:$H$1000,"4",'Participant Responses'!$B$2:$B$1000,"&gt;=20",'Participant Responses'!$B$2:$B$1000,"&lt;=24")</f>
        <v>0</v>
      </c>
      <c r="I41" s="4">
        <f>COUNTIFS('Participant Responses'!$H$2:$H$1000,"4",'Participant Responses'!$B$2:$B$1000,"&gt;=25",'Participant Responses'!$B$2:$B$1000,"&lt;=44")</f>
        <v>0</v>
      </c>
      <c r="J41" s="4">
        <f>COUNTIFS('Participant Responses'!$H$2:$H$1000,"4",'Participant Responses'!$B$2:$B$1000,"&gt;=45",'Participant Responses'!$B$2:$B$1000,"&lt;=54")</f>
        <v>0</v>
      </c>
      <c r="K41" s="4">
        <f>COUNTIFS('Participant Responses'!$H$2:$H$1000,"4",'Participant Responses'!$B$2:$B$1000,"&gt;=55",'Participant Responses'!$B$2:$B$1000,"&lt;=64")</f>
        <v>0</v>
      </c>
      <c r="L41" s="4">
        <f>COUNTIFS('Participant Responses'!$H$2:$H$1000,"4",'Participant Responses'!$B$2:$B$1000,"&gt;=65",'Participant Responses'!$B$2:$B$1000,"&lt;=74")</f>
        <v>0</v>
      </c>
      <c r="M41" s="4">
        <f>COUNTIFS('Participant Responses'!$H$2:$H$1000,"4",'Participant Responses'!$B$2:$B$1000,"&gt;=75",'Participant Responses'!$B$2:$B$1000,"&lt;=84")</f>
        <v>0</v>
      </c>
      <c r="N41" s="4">
        <f>COUNTIFS('Participant Responses'!$H$2:$H$1000,"4",'Participant Responses'!$B$2:$B$1000,"&gt;85")</f>
        <v>0</v>
      </c>
    </row>
    <row r="42" spans="1:14">
      <c r="A42" s="3" t="s">
        <v>51</v>
      </c>
      <c r="B42" s="13">
        <f>COUNTIF('Participant Responses'!$H$2:$H$1000,"5")</f>
        <v>0</v>
      </c>
      <c r="C42" s="7">
        <f>COUNTIFS('Participant Responses'!$H$2:$H$1000,"5",'Participant Responses'!$C$2:$C$1000,"m")</f>
        <v>0</v>
      </c>
      <c r="D42" s="4">
        <f>COUNTIFS('Participant Responses'!$H$2:$H$1000,"5",'Participant Responses'!$C$2:$C$1000,"f")</f>
        <v>0</v>
      </c>
      <c r="E42" s="4">
        <f>COUNTIFS('Participant Responses'!$H$2:$H$1000,"5",'Participant Responses'!$B$2:$B$1000,"&lt;=4")</f>
        <v>0</v>
      </c>
      <c r="F42" s="4">
        <f>COUNTIFS('Participant Responses'!$H$2:$H$1000,"5",'Participant Responses'!$B$2:$B$1000,"&gt;=5",'Participant Responses'!$B$2:$B$1000,"&lt;=14")</f>
        <v>0</v>
      </c>
      <c r="G42" s="4">
        <f>COUNTIFS('Participant Responses'!$H$2:$H$1000,"5",'Participant Responses'!$B$2:$B$1000,"&gt;=15",'Participant Responses'!$B$2:$B$1000,"&lt;=19")</f>
        <v>0</v>
      </c>
      <c r="H42" s="4">
        <f>COUNTIFS('Participant Responses'!$H$2:$H$1000,"5",'Participant Responses'!$B$2:$B$1000,"&gt;=20",'Participant Responses'!$B$2:$B$1000,"&lt;=24")</f>
        <v>0</v>
      </c>
      <c r="I42" s="4">
        <f>COUNTIFS('Participant Responses'!$H$2:$H$1000,"5",'Participant Responses'!$B$2:$B$1000,"&gt;=25",'Participant Responses'!$B$2:$B$1000,"&lt;=44")</f>
        <v>0</v>
      </c>
      <c r="J42" s="4">
        <f>COUNTIFS('Participant Responses'!$H$2:$H$1000,"5",'Participant Responses'!$B$2:$B$1000,"&gt;=45",'Participant Responses'!$B$2:$B$1000,"&lt;=54")</f>
        <v>0</v>
      </c>
      <c r="K42" s="4">
        <f>COUNTIFS('Participant Responses'!$H$2:$H$1000,"5",'Participant Responses'!$B$2:$B$1000,"&gt;=55",'Participant Responses'!$B$2:$B$1000,"&lt;=64")</f>
        <v>0</v>
      </c>
      <c r="L42" s="4">
        <f>COUNTIFS('Participant Responses'!$H$2:$H$1000,"5",'Participant Responses'!$B$2:$B$1000,"&gt;=65",'Participant Responses'!$B$2:$B$1000,"&lt;=74")</f>
        <v>0</v>
      </c>
      <c r="M42" s="4">
        <f>COUNTIFS('Participant Responses'!$H$2:$H$1000,"5",'Participant Responses'!$B$2:$B$1000,"&gt;=75",'Participant Responses'!$B$2:$B$1000,"&lt;=84")</f>
        <v>0</v>
      </c>
      <c r="N42" s="4">
        <f>COUNTIFS('Participant Responses'!$H$2:$H$1000,"5",'Participant Responses'!$B$2:$B$1000,"&gt;85")</f>
        <v>0</v>
      </c>
    </row>
    <row r="44" spans="1:14" ht="30">
      <c r="A44" s="8" t="s">
        <v>54</v>
      </c>
      <c r="B44" s="11" t="s">
        <v>15</v>
      </c>
      <c r="C44" s="23" t="s">
        <v>2</v>
      </c>
      <c r="D44" s="24"/>
      <c r="E44" s="24" t="s">
        <v>5</v>
      </c>
      <c r="F44" s="24"/>
      <c r="G44" s="24"/>
      <c r="H44" s="24"/>
      <c r="I44" s="24"/>
      <c r="J44" s="24"/>
      <c r="K44" s="24"/>
      <c r="L44" s="24"/>
      <c r="M44" s="24"/>
      <c r="N44" s="24"/>
    </row>
    <row r="45" spans="1:14">
      <c r="A45" s="3"/>
      <c r="B45" s="13"/>
      <c r="C45" s="7" t="s">
        <v>13</v>
      </c>
      <c r="D45" s="4" t="s">
        <v>14</v>
      </c>
      <c r="E45" s="3" t="s">
        <v>6</v>
      </c>
      <c r="F45" s="3" t="s">
        <v>17</v>
      </c>
      <c r="G45" s="3" t="s">
        <v>7</v>
      </c>
      <c r="H45" s="3" t="s">
        <v>8</v>
      </c>
      <c r="I45" s="3" t="s">
        <v>9</v>
      </c>
      <c r="J45" s="3" t="s">
        <v>10</v>
      </c>
      <c r="K45" s="3" t="s">
        <v>11</v>
      </c>
      <c r="L45" s="3" t="s">
        <v>18</v>
      </c>
      <c r="M45" s="3" t="s">
        <v>12</v>
      </c>
      <c r="N45" s="3" t="s">
        <v>16</v>
      </c>
    </row>
    <row r="46" spans="1:14">
      <c r="A46" s="9" t="s">
        <v>47</v>
      </c>
      <c r="B46" s="12">
        <f>COUNTIF('Participant Responses'!$I$2:$I$1000,"1")</f>
        <v>0</v>
      </c>
      <c r="C46" s="10">
        <f>COUNTIFS('Participant Responses'!$I$2:$I$1000,"1",'Participant Responses'!$C$2:$C$1000,"m")</f>
        <v>0</v>
      </c>
      <c r="D46" s="4">
        <f>COUNTIFS('Participant Responses'!$I$2:$I$1000,"1",'Participant Responses'!$C$2:$C$1000,"f")</f>
        <v>0</v>
      </c>
      <c r="E46" s="5">
        <f>COUNTIFS('Participant Responses'!$I$2:$I$1000,"1",'Participant Responses'!$B$2:$B$1000,"&lt;=4")</f>
        <v>0</v>
      </c>
      <c r="F46" s="4">
        <f>COUNTIFS('Participant Responses'!$I$2:$I$1000,"1",'Participant Responses'!$B$2:$B$1000,"&gt;=5",'Participant Responses'!$B$2:$B$1000,"&lt;=14")</f>
        <v>0</v>
      </c>
      <c r="G46" s="4">
        <f>COUNTIFS('Participant Responses'!$I$2:$I$1000,"1",'Participant Responses'!$B$2:$B$1000,"&gt;=15",'Participant Responses'!$B$2:$B$1000,"&lt;=19")</f>
        <v>0</v>
      </c>
      <c r="H46" s="4">
        <f>COUNTIFS('Participant Responses'!$I$2:$I$1000,"1",'Participant Responses'!$B$2:$B$1000,"&gt;=20",'Participant Responses'!$B$2:$B$1000,"&lt;=24")</f>
        <v>0</v>
      </c>
      <c r="I46" s="4">
        <f>COUNTIFS('Participant Responses'!$I$2:$I$1000,"1",'Participant Responses'!$B$2:$B$1000,"&gt;=25",'Participant Responses'!$B$2:$B$1000,"&lt;=44")</f>
        <v>0</v>
      </c>
      <c r="J46" s="4">
        <f>COUNTIFS('Participant Responses'!$I$2:$I$1000,"1",'Participant Responses'!$B$2:$B$1000,"&gt;=45",'Participant Responses'!$B$2:$B$1000,"&lt;=54")</f>
        <v>0</v>
      </c>
      <c r="K46" s="4">
        <f>COUNTIFS('Participant Responses'!$I$2:$I$1000,"1",'Participant Responses'!$B$2:$B$1000,"&gt;=55",'Participant Responses'!$B$2:$B$1000,"&lt;=64")</f>
        <v>0</v>
      </c>
      <c r="L46" s="4">
        <f>COUNTIFS('Participant Responses'!$I$2:$I$1000,"1",'Participant Responses'!$B$2:$B$1000,"&gt;=65",'Participant Responses'!$B$2:$B$1000,"&lt;=74")</f>
        <v>0</v>
      </c>
      <c r="M46" s="4">
        <f>COUNTIFS('Participant Responses'!$I$2:$I$1000,"1",'Participant Responses'!$B$2:$B$1000,"&gt;=75",'Participant Responses'!$B$2:$B$1000,"&lt;=84")</f>
        <v>0</v>
      </c>
      <c r="N46" s="4">
        <f>COUNTIFS('Participant Responses'!$I$2:$I$1000,"1",'Participant Responses'!$B$2:$B$1000,"&gt;=85")</f>
        <v>0</v>
      </c>
    </row>
    <row r="47" spans="1:14">
      <c r="A47" s="3" t="s">
        <v>48</v>
      </c>
      <c r="B47" s="13">
        <f>COUNTIF('Participant Responses'!$I$2:$I$1000,"2")</f>
        <v>0</v>
      </c>
      <c r="C47" s="7">
        <f>COUNTIFS('Participant Responses'!$I$2:$I$1000,"2",'Participant Responses'!$C$2:$C$1000,"m")</f>
        <v>0</v>
      </c>
      <c r="D47" s="4">
        <f>COUNTIFS('Participant Responses'!$I$2:$I$1000,"2",'Participant Responses'!$C$2:$C$1000,"f")</f>
        <v>0</v>
      </c>
      <c r="E47" s="4">
        <f>COUNTIFS('Participant Responses'!$I$2:$I$1000,"2",'Participant Responses'!$B$2:$B$1000,"&lt;=4")</f>
        <v>0</v>
      </c>
      <c r="F47" s="4">
        <f>COUNTIFS('Participant Responses'!$I$2:$I$1000,"2",'Participant Responses'!$B$2:$B$1000,"&gt;=5",'Participant Responses'!$B$2:$B$1000,"&lt;=14")</f>
        <v>0</v>
      </c>
      <c r="G47" s="4">
        <f>COUNTIFS('Participant Responses'!$I$2:$I$1000,"2",'Participant Responses'!$B$2:$B$1000,"&gt;=15",'Participant Responses'!$B$2:$B$1000,"&lt;=19")</f>
        <v>0</v>
      </c>
      <c r="H47" s="4">
        <f>COUNTIFS('Participant Responses'!$I$2:$I$1000,"2",'Participant Responses'!$B$2:$B$1000,"&gt;=20",'Participant Responses'!$B$2:$B$1000,"&lt;=24")</f>
        <v>0</v>
      </c>
      <c r="I47" s="4">
        <f>COUNTIFS('Participant Responses'!$I$2:$I$1000,"2",'Participant Responses'!$B$2:$B$1000,"&gt;=25",'Participant Responses'!$B$2:$B$1000,"&lt;=44")</f>
        <v>0</v>
      </c>
      <c r="J47" s="4">
        <f>COUNTIFS('Participant Responses'!$I$2:$I$1000,"2",'Participant Responses'!$B$2:$B$1000,"&gt;=45",'Participant Responses'!$B$2:$B$1000,"&lt;=54")</f>
        <v>0</v>
      </c>
      <c r="K47" s="4">
        <f>COUNTIFS('Participant Responses'!$I$2:$I$1000,"2",'Participant Responses'!$B$2:$B$1000,"&gt;=55",'Participant Responses'!$B$2:$B$1000,"&lt;=64")</f>
        <v>0</v>
      </c>
      <c r="L47" s="4">
        <f>COUNTIFS('Participant Responses'!$I$2:$I$1000,"2",'Participant Responses'!$B$2:$B$1000,"&gt;=65",'Participant Responses'!$B$2:$B$1000,"&lt;=74")</f>
        <v>0</v>
      </c>
      <c r="M47" s="4">
        <f>COUNTIFS('Participant Responses'!$I$2:$I$1000,"2",'Participant Responses'!$B$2:$B$1000,"&gt;=75",'Participant Responses'!$B$2:$B$1000,"&lt;=84")</f>
        <v>0</v>
      </c>
      <c r="N47" s="4">
        <f>COUNTIFS('Participant Responses'!$I$2:$I$1000,"2",'Participant Responses'!$B$2:$B$1000,"&gt;85")</f>
        <v>0</v>
      </c>
    </row>
    <row r="48" spans="1:14">
      <c r="A48" s="3" t="s">
        <v>49</v>
      </c>
      <c r="B48" s="13">
        <f>COUNTIF('Participant Responses'!$I$2:$I$1000,"3")</f>
        <v>0</v>
      </c>
      <c r="C48" s="7">
        <f>COUNTIFS('Participant Responses'!$I$2:$I$1000,"3",'Participant Responses'!$C$2:$C$1000,"m")</f>
        <v>0</v>
      </c>
      <c r="D48" s="4">
        <f>COUNTIFS('Participant Responses'!$I$2:$I$1000,"3",'Participant Responses'!$C$2:$C$1000,"f")</f>
        <v>0</v>
      </c>
      <c r="E48" s="4">
        <f>COUNTIFS('Participant Responses'!$I$2:$I$1000,"3",'Participant Responses'!$B$2:$B$1000,"&lt;=4")</f>
        <v>0</v>
      </c>
      <c r="F48" s="4">
        <f>COUNTIFS('Participant Responses'!$I$2:$I$1000,"3",'Participant Responses'!$B$2:$B$1000,"&gt;=5",'Participant Responses'!$B$2:$B$1000,"&lt;=14")</f>
        <v>0</v>
      </c>
      <c r="G48" s="4">
        <f>COUNTIFS('Participant Responses'!$I$2:$I$1000,"3",'Participant Responses'!$B$2:$B$1000,"&gt;=15",'Participant Responses'!$B$2:$B$1000,"&lt;=19")</f>
        <v>0</v>
      </c>
      <c r="H48" s="4">
        <f>COUNTIFS('Participant Responses'!$I$2:$I$1000,"3",'Participant Responses'!$B$2:$B$1000,"&gt;=20",'Participant Responses'!$B$2:$B$1000,"&lt;=24")</f>
        <v>0</v>
      </c>
      <c r="I48" s="4">
        <f>COUNTIFS('Participant Responses'!$I$2:$I$1000,"3",'Participant Responses'!$B$2:$B$1000,"&gt;=25",'Participant Responses'!$B$2:$B$1000,"&lt;=44")</f>
        <v>0</v>
      </c>
      <c r="J48" s="4">
        <f>COUNTIFS('Participant Responses'!$I$2:$I$1000,"3",'Participant Responses'!$B$2:$B$1000,"&gt;=45",'Participant Responses'!$B$2:$B$1000,"&lt;=54")</f>
        <v>0</v>
      </c>
      <c r="K48" s="4">
        <f>COUNTIFS('Participant Responses'!$I$2:$I$1000,"3",'Participant Responses'!$B$2:$B$1000,"&gt;=55",'Participant Responses'!$B$2:$B$1000,"&lt;=64")</f>
        <v>0</v>
      </c>
      <c r="L48" s="4">
        <f>COUNTIFS('Participant Responses'!$I$2:$I$1000,"3",'Participant Responses'!$B$2:$B$1000,"&gt;=65",'Participant Responses'!$B$2:$B$1000,"&lt;=74")</f>
        <v>0</v>
      </c>
      <c r="M48" s="4">
        <f>COUNTIFS('Participant Responses'!$I$2:$I$1000,"3",'Participant Responses'!$B$2:$B$1000,"&gt;=75",'Participant Responses'!$B$2:$B$1000,"&lt;=84")</f>
        <v>0</v>
      </c>
      <c r="N48" s="4">
        <f>COUNTIFS('Participant Responses'!$I$2:$I$1000,"3",'Participant Responses'!$B$2:$B$1000,"&gt;85")</f>
        <v>0</v>
      </c>
    </row>
    <row r="49" spans="1:14">
      <c r="A49" s="3" t="s">
        <v>50</v>
      </c>
      <c r="B49" s="13">
        <f>COUNTIF('Participant Responses'!$I$2:$I$1000,"4")</f>
        <v>0</v>
      </c>
      <c r="C49" s="7">
        <f>COUNTIFS('Participant Responses'!$I$2:$I$1000,"4",'Participant Responses'!$C$2:$C$1000,"m")</f>
        <v>0</v>
      </c>
      <c r="D49" s="4">
        <f>COUNTIFS('Participant Responses'!$I$2:$I$1000,"4",'Participant Responses'!$C$2:$C$1000,"f")</f>
        <v>0</v>
      </c>
      <c r="E49" s="4">
        <f>COUNTIFS('Participant Responses'!$I$2:$I$1000,"4",'Participant Responses'!$B$2:$B$1000,"&lt;=4")</f>
        <v>0</v>
      </c>
      <c r="F49" s="4">
        <f>COUNTIFS('Participant Responses'!$I$2:$I$1000,"4",'Participant Responses'!$B$2:$B$1000,"&gt;=5",'Participant Responses'!$B$2:$B$1000,"&lt;=14")</f>
        <v>0</v>
      </c>
      <c r="G49" s="4">
        <f>COUNTIFS('Participant Responses'!$I$2:$I$1000,"4",'Participant Responses'!$B$2:$B$1000,"&gt;=15",'Participant Responses'!$B$2:$B$1000,"&lt;=19")</f>
        <v>0</v>
      </c>
      <c r="H49" s="4">
        <f>COUNTIFS('Participant Responses'!$I$2:$I$1000,"4",'Participant Responses'!$B$2:$B$1000,"&gt;=20",'Participant Responses'!$B$2:$B$1000,"&lt;=24")</f>
        <v>0</v>
      </c>
      <c r="I49" s="4">
        <f>COUNTIFS('Participant Responses'!$I$2:$I$1000,"4",'Participant Responses'!$B$2:$B$1000,"&gt;=25",'Participant Responses'!$B$2:$B$1000,"&lt;=44")</f>
        <v>0</v>
      </c>
      <c r="J49" s="4">
        <f>COUNTIFS('Participant Responses'!$I$2:$I$1000,"4",'Participant Responses'!$B$2:$B$1000,"&gt;=45",'Participant Responses'!$B$2:$B$1000,"&lt;=54")</f>
        <v>0</v>
      </c>
      <c r="K49" s="4">
        <f>COUNTIFS('Participant Responses'!$I$2:$I$1000,"4",'Participant Responses'!$B$2:$B$1000,"&gt;=55",'Participant Responses'!$B$2:$B$1000,"&lt;=64")</f>
        <v>0</v>
      </c>
      <c r="L49" s="4">
        <f>COUNTIFS('Participant Responses'!$I$2:$I$1000,"4",'Participant Responses'!$B$2:$B$1000,"&gt;=65",'Participant Responses'!$B$2:$B$1000,"&lt;=74")</f>
        <v>0</v>
      </c>
      <c r="M49" s="4">
        <f>COUNTIFS('Participant Responses'!$I$2:$I$1000,"4",'Participant Responses'!$B$2:$B$1000,"&gt;=75",'Participant Responses'!$B$2:$B$1000,"&lt;=84")</f>
        <v>0</v>
      </c>
      <c r="N49" s="4">
        <f>COUNTIFS('Participant Responses'!$I$2:$I$1000,"4",'Participant Responses'!$B$2:$B$1000,"&gt;85")</f>
        <v>0</v>
      </c>
    </row>
    <row r="50" spans="1:14">
      <c r="A50" s="3" t="s">
        <v>51</v>
      </c>
      <c r="B50" s="13">
        <f>COUNTIF('Participant Responses'!$I$2:$I$1000,"5")</f>
        <v>0</v>
      </c>
      <c r="C50" s="7">
        <f>COUNTIFS('Participant Responses'!$I$2:$I$1000,"5",'Participant Responses'!$C$2:$C$1000,"m")</f>
        <v>0</v>
      </c>
      <c r="D50" s="4">
        <f>COUNTIFS('Participant Responses'!$I$2:$I$1000,"5",'Participant Responses'!$C$2:$C$1000,"f")</f>
        <v>0</v>
      </c>
      <c r="E50" s="4">
        <f>COUNTIFS('Participant Responses'!$I$2:$I$1000,"5",'Participant Responses'!$B$2:$B$1000,"&lt;=4")</f>
        <v>0</v>
      </c>
      <c r="F50" s="4">
        <f>COUNTIFS('Participant Responses'!$I$2:$I$1000,"5",'Participant Responses'!$B$2:$B$1000,"&gt;=5",'Participant Responses'!$B$2:$B$1000,"&lt;=14")</f>
        <v>0</v>
      </c>
      <c r="G50" s="4">
        <f>COUNTIFS('Participant Responses'!$I$2:$I$1000,"5",'Participant Responses'!$B$2:$B$1000,"&gt;=15",'Participant Responses'!$B$2:$B$1000,"&lt;=19")</f>
        <v>0</v>
      </c>
      <c r="H50" s="4">
        <f>COUNTIFS('Participant Responses'!$I$2:$I$1000,"5",'Participant Responses'!$B$2:$B$1000,"&gt;=20",'Participant Responses'!$B$2:$B$1000,"&lt;=24")</f>
        <v>0</v>
      </c>
      <c r="I50" s="4">
        <f>COUNTIFS('Participant Responses'!$I$2:$I$1000,"5",'Participant Responses'!$B$2:$B$1000,"&gt;=25",'Participant Responses'!$B$2:$B$1000,"&lt;=44")</f>
        <v>0</v>
      </c>
      <c r="J50" s="4">
        <f>COUNTIFS('Participant Responses'!$I$2:$I$1000,"5",'Participant Responses'!$B$2:$B$1000,"&gt;=45",'Participant Responses'!$B$2:$B$1000,"&lt;=54")</f>
        <v>0</v>
      </c>
      <c r="K50" s="4">
        <f>COUNTIFS('Participant Responses'!$I$2:$I$1000,"5",'Participant Responses'!$B$2:$B$1000,"&gt;=55",'Participant Responses'!$B$2:$B$1000,"&lt;=64")</f>
        <v>0</v>
      </c>
      <c r="L50" s="4">
        <f>COUNTIFS('Participant Responses'!$I$2:$I$1000,"5",'Participant Responses'!$B$2:$B$1000,"&gt;=65",'Participant Responses'!$B$2:$B$1000,"&lt;=74")</f>
        <v>0</v>
      </c>
      <c r="M50" s="4">
        <f>COUNTIFS('Participant Responses'!$I$2:$I$1000,"5",'Participant Responses'!$B$2:$B$1000,"&gt;=75",'Participant Responses'!$B$2:$B$1000,"&lt;=84")</f>
        <v>0</v>
      </c>
      <c r="N50" s="4">
        <f>COUNTIFS('Participant Responses'!$I$2:$I$1000,"5",'Participant Responses'!$B$2:$B$1000,"&gt;85")</f>
        <v>0</v>
      </c>
    </row>
    <row r="52" spans="1:14" ht="75">
      <c r="A52" s="8" t="s">
        <v>55</v>
      </c>
      <c r="B52" s="11" t="s">
        <v>15</v>
      </c>
      <c r="C52" s="23" t="s">
        <v>2</v>
      </c>
      <c r="D52" s="24"/>
      <c r="E52" s="24" t="s">
        <v>5</v>
      </c>
      <c r="F52" s="24"/>
      <c r="G52" s="24"/>
      <c r="H52" s="24"/>
      <c r="I52" s="24"/>
      <c r="J52" s="24"/>
      <c r="K52" s="24"/>
      <c r="L52" s="24"/>
      <c r="M52" s="24"/>
      <c r="N52" s="24"/>
    </row>
    <row r="53" spans="1:14">
      <c r="A53" s="3"/>
      <c r="B53" s="13"/>
      <c r="C53" s="7" t="s">
        <v>13</v>
      </c>
      <c r="D53" s="4" t="s">
        <v>14</v>
      </c>
      <c r="E53" s="3" t="s">
        <v>6</v>
      </c>
      <c r="F53" s="3" t="s">
        <v>17</v>
      </c>
      <c r="G53" s="3" t="s">
        <v>7</v>
      </c>
      <c r="H53" s="3" t="s">
        <v>8</v>
      </c>
      <c r="I53" s="3" t="s">
        <v>9</v>
      </c>
      <c r="J53" s="3" t="s">
        <v>10</v>
      </c>
      <c r="K53" s="3" t="s">
        <v>11</v>
      </c>
      <c r="L53" s="3" t="s">
        <v>18</v>
      </c>
      <c r="M53" s="3" t="s">
        <v>12</v>
      </c>
      <c r="N53" s="3" t="s">
        <v>16</v>
      </c>
    </row>
    <row r="54" spans="1:14">
      <c r="A54" s="9" t="s">
        <v>47</v>
      </c>
      <c r="B54" s="12">
        <f>COUNTIF('Participant Responses'!$J$2:$J$1000,"1")</f>
        <v>0</v>
      </c>
      <c r="C54" s="10">
        <f>COUNTIFS('Participant Responses'!$J$2:$J$1000,"1",'Participant Responses'!$C$2:$C$1000,"m")</f>
        <v>0</v>
      </c>
      <c r="D54" s="4">
        <f>COUNTIFS('Participant Responses'!$J$2:$J$1000,"1",'Participant Responses'!$C$2:$C$1000,"f")</f>
        <v>0</v>
      </c>
      <c r="E54" s="5">
        <f>COUNTIFS('Participant Responses'!$J$2:$J$1000,"1",'Participant Responses'!$B$2:$B$1000,"&lt;=4")</f>
        <v>0</v>
      </c>
      <c r="F54" s="4">
        <f>COUNTIFS('Participant Responses'!$J$2:$J$1000,"1",'Participant Responses'!$B$2:$B$1000,"&gt;=5",'Participant Responses'!$B$2:$B$1000,"&lt;=14")</f>
        <v>0</v>
      </c>
      <c r="G54" s="4">
        <f>COUNTIFS('Participant Responses'!$J$2:$J$1000,"1",'Participant Responses'!$B$2:$B$1000,"&gt;=15",'Participant Responses'!$B$2:$B$1000,"&lt;=19")</f>
        <v>0</v>
      </c>
      <c r="H54" s="4">
        <f>COUNTIFS('Participant Responses'!$J$2:$J$1000,"1",'Participant Responses'!$B$2:$B$1000,"&gt;=20",'Participant Responses'!$B$2:$B$1000,"&lt;=24")</f>
        <v>0</v>
      </c>
      <c r="I54" s="4">
        <f>COUNTIFS('Participant Responses'!$J$2:$J$1000,"1",'Participant Responses'!$B$2:$B$1000,"&gt;=25",'Participant Responses'!$B$2:$B$1000,"&lt;=44")</f>
        <v>0</v>
      </c>
      <c r="J54" s="4">
        <f>COUNTIFS('Participant Responses'!$J$2:$J$1000,"1",'Participant Responses'!$B$2:$B$1000,"&gt;=45",'Participant Responses'!$B$2:$B$1000,"&lt;=54")</f>
        <v>0</v>
      </c>
      <c r="K54" s="4">
        <f>COUNTIFS('Participant Responses'!$J$2:$J$1000,"1",'Participant Responses'!$B$2:$B$1000,"&gt;=55",'Participant Responses'!$B$2:$B$1000,"&lt;=64")</f>
        <v>0</v>
      </c>
      <c r="L54" s="4">
        <f>COUNTIFS('Participant Responses'!$J$2:$J$1000,"1",'Participant Responses'!$B$2:$B$1000,"&gt;=65",'Participant Responses'!$B$2:$B$1000,"&lt;=74")</f>
        <v>0</v>
      </c>
      <c r="M54" s="4">
        <f>COUNTIFS('Participant Responses'!$J$2:$J$1000,"1",'Participant Responses'!$B$2:$B$1000,"&gt;=75",'Participant Responses'!$B$2:$B$1000,"&lt;=84")</f>
        <v>0</v>
      </c>
      <c r="N54" s="4">
        <f>COUNTIFS('Participant Responses'!$J$2:$J$1000,"1",'Participant Responses'!$B$2:$B$1000,"&gt;=85")</f>
        <v>0</v>
      </c>
    </row>
    <row r="55" spans="1:14">
      <c r="A55" s="3" t="s">
        <v>48</v>
      </c>
      <c r="B55" s="13">
        <f>COUNTIF('Participant Responses'!$J$2:$J$1000,"2")</f>
        <v>0</v>
      </c>
      <c r="C55" s="7">
        <f>COUNTIFS('Participant Responses'!$J$2:$J$1000,"2",'Participant Responses'!$C$2:$C$1000,"m")</f>
        <v>0</v>
      </c>
      <c r="D55" s="4">
        <f>COUNTIFS('Participant Responses'!$J$2:$J$1000,"2",'Participant Responses'!$C$2:$C$1000,"f")</f>
        <v>0</v>
      </c>
      <c r="E55" s="4">
        <f>COUNTIFS('Participant Responses'!$J$2:$J$1000,"2",'Participant Responses'!$B$2:$B$1000,"&lt;=4")</f>
        <v>0</v>
      </c>
      <c r="F55" s="4">
        <f>COUNTIFS('Participant Responses'!$J$2:$J$1000,"2",'Participant Responses'!$B$2:$B$1000,"&gt;=5",'Participant Responses'!$B$2:$B$1000,"&lt;=14")</f>
        <v>0</v>
      </c>
      <c r="G55" s="4">
        <f>COUNTIFS('Participant Responses'!$J$2:$J$1000,"2",'Participant Responses'!$B$2:$B$1000,"&gt;=15",'Participant Responses'!$B$2:$B$1000,"&lt;=19")</f>
        <v>0</v>
      </c>
      <c r="H55" s="4">
        <f>COUNTIFS('Participant Responses'!$J$2:$J$1000,"2",'Participant Responses'!$B$2:$B$1000,"&gt;=20",'Participant Responses'!$B$2:$B$1000,"&lt;=24")</f>
        <v>0</v>
      </c>
      <c r="I55" s="4">
        <f>COUNTIFS('Participant Responses'!$J$2:$J$1000,"2",'Participant Responses'!$B$2:$B$1000,"&gt;=25",'Participant Responses'!$B$2:$B$1000,"&lt;=44")</f>
        <v>0</v>
      </c>
      <c r="J55" s="4">
        <f>COUNTIFS('Participant Responses'!$J$2:$J$1000,"2",'Participant Responses'!$B$2:$B$1000,"&gt;=45",'Participant Responses'!$B$2:$B$1000,"&lt;=54")</f>
        <v>0</v>
      </c>
      <c r="K55" s="4">
        <f>COUNTIFS('Participant Responses'!$J$2:$J$1000,"2",'Participant Responses'!$B$2:$B$1000,"&gt;=55",'Participant Responses'!$B$2:$B$1000,"&lt;=64")</f>
        <v>0</v>
      </c>
      <c r="L55" s="4">
        <f>COUNTIFS('Participant Responses'!$J$2:$J$1000,"2",'Participant Responses'!$B$2:$B$1000,"&gt;=65",'Participant Responses'!$B$2:$B$1000,"&lt;=74")</f>
        <v>0</v>
      </c>
      <c r="M55" s="4">
        <f>COUNTIFS('Participant Responses'!$J$2:$J$1000,"2",'Participant Responses'!$B$2:$B$1000,"&gt;=75",'Participant Responses'!$B$2:$B$1000,"&lt;=84")</f>
        <v>0</v>
      </c>
      <c r="N55" s="4">
        <f>COUNTIFS('Participant Responses'!$J$2:$J$1000,"2",'Participant Responses'!$B$2:$B$1000,"&gt;85")</f>
        <v>0</v>
      </c>
    </row>
    <row r="56" spans="1:14">
      <c r="A56" s="3" t="s">
        <v>49</v>
      </c>
      <c r="B56" s="13">
        <f>COUNTIF('Participant Responses'!$J$2:$J$1000,"3")</f>
        <v>0</v>
      </c>
      <c r="C56" s="7">
        <f>COUNTIFS('Participant Responses'!$J$2:$J$1000,"3",'Participant Responses'!$C$2:$C$1000,"m")</f>
        <v>0</v>
      </c>
      <c r="D56" s="4">
        <f>COUNTIFS('Participant Responses'!$J$2:$J$1000,"3",'Participant Responses'!$C$2:$C$1000,"f")</f>
        <v>0</v>
      </c>
      <c r="E56" s="4">
        <f>COUNTIFS('Participant Responses'!$J$2:$J$1000,"3",'Participant Responses'!$B$2:$B$1000,"&lt;=4")</f>
        <v>0</v>
      </c>
      <c r="F56" s="4">
        <f>COUNTIFS('Participant Responses'!$J$2:$J$1000,"3",'Participant Responses'!$B$2:$B$1000,"&gt;=5",'Participant Responses'!$B$2:$B$1000,"&lt;=14")</f>
        <v>0</v>
      </c>
      <c r="G56" s="4">
        <f>COUNTIFS('Participant Responses'!$J$2:$J$1000,"3",'Participant Responses'!$B$2:$B$1000,"&gt;=15",'Participant Responses'!$B$2:$B$1000,"&lt;=19")</f>
        <v>0</v>
      </c>
      <c r="H56" s="4">
        <f>COUNTIFS('Participant Responses'!$J$2:$J$1000,"3",'Participant Responses'!$B$2:$B$1000,"&gt;=20",'Participant Responses'!$B$2:$B$1000,"&lt;=24")</f>
        <v>0</v>
      </c>
      <c r="I56" s="4">
        <f>COUNTIFS('Participant Responses'!$J$2:$J$1000,"3",'Participant Responses'!$B$2:$B$1000,"&gt;=25",'Participant Responses'!$B$2:$B$1000,"&lt;=44")</f>
        <v>0</v>
      </c>
      <c r="J56" s="4">
        <f>COUNTIFS('Participant Responses'!$J$2:$J$1000,"3",'Participant Responses'!$B$2:$B$1000,"&gt;=45",'Participant Responses'!$B$2:$B$1000,"&lt;=54")</f>
        <v>0</v>
      </c>
      <c r="K56" s="4">
        <f>COUNTIFS('Participant Responses'!$J$2:$J$1000,"3",'Participant Responses'!$B$2:$B$1000,"&gt;=55",'Participant Responses'!$B$2:$B$1000,"&lt;=64")</f>
        <v>0</v>
      </c>
      <c r="L56" s="4">
        <f>COUNTIFS('Participant Responses'!$J$2:$J$1000,"3",'Participant Responses'!$B$2:$B$1000,"&gt;=65",'Participant Responses'!$B$2:$B$1000,"&lt;=74")</f>
        <v>0</v>
      </c>
      <c r="M56" s="4">
        <f>COUNTIFS('Participant Responses'!$J$2:$J$1000,"3",'Participant Responses'!$B$2:$B$1000,"&gt;=75",'Participant Responses'!$B$2:$B$1000,"&lt;=84")</f>
        <v>0</v>
      </c>
      <c r="N56" s="4">
        <f>COUNTIFS('Participant Responses'!$J$2:$J$1000,"3",'Participant Responses'!$B$2:$B$1000,"&gt;85")</f>
        <v>0</v>
      </c>
    </row>
    <row r="57" spans="1:14">
      <c r="A57" s="3" t="s">
        <v>50</v>
      </c>
      <c r="B57" s="13">
        <f>COUNTIF('Participant Responses'!$J$2:$J$1000,"4")</f>
        <v>0</v>
      </c>
      <c r="C57" s="7">
        <f>COUNTIFS('Participant Responses'!$J$2:$J$1000,"4",'Participant Responses'!$C$2:$C$1000,"m")</f>
        <v>0</v>
      </c>
      <c r="D57" s="4">
        <f>COUNTIFS('Participant Responses'!$J$2:$J$1000,"4",'Participant Responses'!$C$2:$C$1000,"f")</f>
        <v>0</v>
      </c>
      <c r="E57" s="4">
        <f>COUNTIFS('Participant Responses'!$J$2:$J$1000,"4",'Participant Responses'!$B$2:$B$1000,"&lt;=4")</f>
        <v>0</v>
      </c>
      <c r="F57" s="4">
        <f>COUNTIFS('Participant Responses'!$J$2:$J$1000,"4",'Participant Responses'!$B$2:$B$1000,"&gt;=5",'Participant Responses'!$B$2:$B$1000,"&lt;=14")</f>
        <v>0</v>
      </c>
      <c r="G57" s="4">
        <f>COUNTIFS('Participant Responses'!$J$2:$J$1000,"4",'Participant Responses'!$B$2:$B$1000,"&gt;=15",'Participant Responses'!$B$2:$B$1000,"&lt;=19")</f>
        <v>0</v>
      </c>
      <c r="H57" s="4">
        <f>COUNTIFS('Participant Responses'!$J$2:$J$1000,"4",'Participant Responses'!$B$2:$B$1000,"&gt;=20",'Participant Responses'!$B$2:$B$1000,"&lt;=24")</f>
        <v>0</v>
      </c>
      <c r="I57" s="4">
        <f>COUNTIFS('Participant Responses'!$J$2:$J$1000,"4",'Participant Responses'!$B$2:$B$1000,"&gt;=25",'Participant Responses'!$B$2:$B$1000,"&lt;=44")</f>
        <v>0</v>
      </c>
      <c r="J57" s="4">
        <f>COUNTIFS('Participant Responses'!$J$2:$J$1000,"4",'Participant Responses'!$B$2:$B$1000,"&gt;=45",'Participant Responses'!$B$2:$B$1000,"&lt;=54")</f>
        <v>0</v>
      </c>
      <c r="K57" s="4">
        <f>COUNTIFS('Participant Responses'!$J$2:$J$1000,"4",'Participant Responses'!$B$2:$B$1000,"&gt;=55",'Participant Responses'!$B$2:$B$1000,"&lt;=64")</f>
        <v>0</v>
      </c>
      <c r="L57" s="4">
        <f>COUNTIFS('Participant Responses'!$J$2:$J$1000,"4",'Participant Responses'!$B$2:$B$1000,"&gt;=65",'Participant Responses'!$B$2:$B$1000,"&lt;=74")</f>
        <v>0</v>
      </c>
      <c r="M57" s="4">
        <f>COUNTIFS('Participant Responses'!$J$2:$J$1000,"4",'Participant Responses'!$B$2:$B$1000,"&gt;=75",'Participant Responses'!$B$2:$B$1000,"&lt;=84")</f>
        <v>0</v>
      </c>
      <c r="N57" s="4">
        <f>COUNTIFS('Participant Responses'!$J$2:$J$1000,"4",'Participant Responses'!$B$2:$B$1000,"&gt;85")</f>
        <v>0</v>
      </c>
    </row>
    <row r="58" spans="1:14">
      <c r="A58" s="3" t="s">
        <v>51</v>
      </c>
      <c r="B58" s="13">
        <f>COUNTIF('Participant Responses'!$J$2:$J$1000,"5")</f>
        <v>0</v>
      </c>
      <c r="C58" s="7">
        <f>COUNTIFS('Participant Responses'!$J$2:$J$1000,"5",'Participant Responses'!$C$2:$C$1000,"m")</f>
        <v>0</v>
      </c>
      <c r="D58" s="4">
        <f>COUNTIFS('Participant Responses'!$J$2:$J$1000,"5",'Participant Responses'!$C$2:$C$1000,"f")</f>
        <v>0</v>
      </c>
      <c r="E58" s="4">
        <f>COUNTIFS('Participant Responses'!$J$2:$J$1000,"5",'Participant Responses'!$B$2:$B$1000,"&lt;=4")</f>
        <v>0</v>
      </c>
      <c r="F58" s="4">
        <f>COUNTIFS('Participant Responses'!$J$2:$J$1000,"5",'Participant Responses'!$B$2:$B$1000,"&gt;=5",'Participant Responses'!$B$2:$B$1000,"&lt;=14")</f>
        <v>0</v>
      </c>
      <c r="G58" s="4">
        <f>COUNTIFS('Participant Responses'!$J$2:$J$1000,"5",'Participant Responses'!$B$2:$B$1000,"&gt;=15",'Participant Responses'!$B$2:$B$1000,"&lt;=19")</f>
        <v>0</v>
      </c>
      <c r="H58" s="4">
        <f>COUNTIFS('Participant Responses'!$J$2:$J$1000,"5",'Participant Responses'!$B$2:$B$1000,"&gt;=20",'Participant Responses'!$B$2:$B$1000,"&lt;=24")</f>
        <v>0</v>
      </c>
      <c r="I58" s="4">
        <f>COUNTIFS('Participant Responses'!$J$2:$J$1000,"5",'Participant Responses'!$B$2:$B$1000,"&gt;=25",'Participant Responses'!$B$2:$B$1000,"&lt;=44")</f>
        <v>0</v>
      </c>
      <c r="J58" s="4">
        <f>COUNTIFS('Participant Responses'!$J$2:$J$1000,"5",'Participant Responses'!$B$2:$B$1000,"&gt;=45",'Participant Responses'!$B$2:$B$1000,"&lt;=54")</f>
        <v>0</v>
      </c>
      <c r="K58" s="4">
        <f>COUNTIFS('Participant Responses'!$J$2:$J$1000,"5",'Participant Responses'!$B$2:$B$1000,"&gt;=55",'Participant Responses'!$B$2:$B$1000,"&lt;=64")</f>
        <v>0</v>
      </c>
      <c r="L58" s="4">
        <f>COUNTIFS('Participant Responses'!$J$2:$J$1000,"5",'Participant Responses'!$B$2:$B$1000,"&gt;=65",'Participant Responses'!$B$2:$B$1000,"&lt;=74")</f>
        <v>0</v>
      </c>
      <c r="M58" s="4">
        <f>COUNTIFS('Participant Responses'!$J$2:$J$1000,"5",'Participant Responses'!$B$2:$B$1000,"&gt;=75",'Participant Responses'!$B$2:$B$1000,"&lt;=84")</f>
        <v>0</v>
      </c>
      <c r="N58" s="4">
        <f>COUNTIFS('Participant Responses'!$J$2:$J$1000,"5",'Participant Responses'!$B$2:$B$1000,"&gt;85")</f>
        <v>0</v>
      </c>
    </row>
    <row r="60" spans="1:14" ht="90">
      <c r="A60" s="8" t="s">
        <v>56</v>
      </c>
      <c r="B60" s="11" t="s">
        <v>15</v>
      </c>
      <c r="C60" s="23" t="s">
        <v>2</v>
      </c>
      <c r="D60" s="24"/>
      <c r="E60" s="24" t="s">
        <v>5</v>
      </c>
      <c r="F60" s="24"/>
      <c r="G60" s="24"/>
      <c r="H60" s="24"/>
      <c r="I60" s="24"/>
      <c r="J60" s="24"/>
      <c r="K60" s="24"/>
      <c r="L60" s="24"/>
      <c r="M60" s="24"/>
      <c r="N60" s="24"/>
    </row>
    <row r="61" spans="1:14">
      <c r="A61" s="3"/>
      <c r="B61" s="13"/>
      <c r="C61" s="7" t="s">
        <v>13</v>
      </c>
      <c r="D61" s="4" t="s">
        <v>14</v>
      </c>
      <c r="E61" s="3" t="s">
        <v>6</v>
      </c>
      <c r="F61" s="3" t="s">
        <v>17</v>
      </c>
      <c r="G61" s="3" t="s">
        <v>7</v>
      </c>
      <c r="H61" s="3" t="s">
        <v>8</v>
      </c>
      <c r="I61" s="3" t="s">
        <v>9</v>
      </c>
      <c r="J61" s="3" t="s">
        <v>10</v>
      </c>
      <c r="K61" s="3" t="s">
        <v>11</v>
      </c>
      <c r="L61" s="3" t="s">
        <v>18</v>
      </c>
      <c r="M61" s="3" t="s">
        <v>12</v>
      </c>
      <c r="N61" s="3" t="s">
        <v>16</v>
      </c>
    </row>
    <row r="62" spans="1:14">
      <c r="A62" s="9" t="s">
        <v>47</v>
      </c>
      <c r="B62" s="12">
        <f>COUNTIF('Participant Responses'!$K$2:$K$1000,"1")</f>
        <v>0</v>
      </c>
      <c r="C62" s="10">
        <f>COUNTIFS('Participant Responses'!$K$2:$K$1000,"1",'Participant Responses'!$C$2:$C$1000,"m")</f>
        <v>0</v>
      </c>
      <c r="D62" s="4">
        <f>COUNTIFS('Participant Responses'!$K$2:$K$1000,"1",'Participant Responses'!$C$2:$C$1000,"f")</f>
        <v>0</v>
      </c>
      <c r="E62" s="5">
        <f>COUNTIFS('Participant Responses'!$K$2:$K$1000,"1",'Participant Responses'!$B$2:$B$1000,"&lt;=4")</f>
        <v>0</v>
      </c>
      <c r="F62" s="4">
        <f>COUNTIFS('Participant Responses'!$K$2:$K$1000,"1",'Participant Responses'!$B$2:$B$1000,"&gt;=5",'Participant Responses'!$B$2:$B$1000,"&lt;=14")</f>
        <v>0</v>
      </c>
      <c r="G62" s="4">
        <f>COUNTIFS('Participant Responses'!$K$2:$K$1000,"1",'Participant Responses'!$B$2:$B$1000,"&gt;=15",'Participant Responses'!$B$2:$B$1000,"&lt;=19")</f>
        <v>0</v>
      </c>
      <c r="H62" s="4">
        <f>COUNTIFS('Participant Responses'!$K$2:$K$1000,"1",'Participant Responses'!$B$2:$B$1000,"&gt;=20",'Participant Responses'!$B$2:$B$1000,"&lt;=24")</f>
        <v>0</v>
      </c>
      <c r="I62" s="4">
        <f>COUNTIFS('Participant Responses'!$K$2:$K$1000,"1",'Participant Responses'!$B$2:$B$1000,"&gt;=25",'Participant Responses'!$B$2:$B$1000,"&lt;=44")</f>
        <v>0</v>
      </c>
      <c r="J62" s="4">
        <f>COUNTIFS('Participant Responses'!$K$2:$K$1000,"1",'Participant Responses'!$B$2:$B$1000,"&gt;=45",'Participant Responses'!$B$2:$B$1000,"&lt;=54")</f>
        <v>0</v>
      </c>
      <c r="K62" s="4">
        <f>COUNTIFS('Participant Responses'!$K$2:$K$1000,"1",'Participant Responses'!$B$2:$B$1000,"&gt;=55",'Participant Responses'!$B$2:$B$1000,"&lt;=64")</f>
        <v>0</v>
      </c>
      <c r="L62" s="4">
        <f>COUNTIFS('Participant Responses'!$K$2:$K$1000,"1",'Participant Responses'!$B$2:$B$1000,"&gt;=65",'Participant Responses'!$B$2:$B$1000,"&lt;=74")</f>
        <v>0</v>
      </c>
      <c r="M62" s="4">
        <f>COUNTIFS('Participant Responses'!$K$2:$K$1000,"1",'Participant Responses'!$B$2:$B$1000,"&gt;=75",'Participant Responses'!$B$2:$B$1000,"&lt;=84")</f>
        <v>0</v>
      </c>
      <c r="N62" s="4">
        <f>COUNTIFS('Participant Responses'!$K$2:$K$1000,"1",'Participant Responses'!$B$2:$B$1000,"&gt;=85")</f>
        <v>0</v>
      </c>
    </row>
    <row r="63" spans="1:14">
      <c r="A63" s="3" t="s">
        <v>48</v>
      </c>
      <c r="B63" s="13">
        <f>COUNTIF('Participant Responses'!$K$2:$K$1000,"2")</f>
        <v>0</v>
      </c>
      <c r="C63" s="7">
        <f>COUNTIFS('Participant Responses'!$K$2:$K$1000,"2",'Participant Responses'!$C$2:$C$1000,"m")</f>
        <v>0</v>
      </c>
      <c r="D63" s="4">
        <f>COUNTIFS('Participant Responses'!$K$2:$K$1000,"2",'Participant Responses'!$C$2:$C$1000,"f")</f>
        <v>0</v>
      </c>
      <c r="E63" s="4">
        <f>COUNTIFS('Participant Responses'!$K$2:$K$1000,"2",'Participant Responses'!$B$2:$B$1000,"&lt;=4")</f>
        <v>0</v>
      </c>
      <c r="F63" s="4">
        <f>COUNTIFS('Participant Responses'!$K$2:$K$1000,"2",'Participant Responses'!$B$2:$B$1000,"&gt;=5",'Participant Responses'!$B$2:$B$1000,"&lt;=14")</f>
        <v>0</v>
      </c>
      <c r="G63" s="4">
        <f>COUNTIFS('Participant Responses'!$K$2:$K$1000,"2",'Participant Responses'!$B$2:$B$1000,"&gt;=15",'Participant Responses'!$B$2:$B$1000,"&lt;=19")</f>
        <v>0</v>
      </c>
      <c r="H63" s="4">
        <f>COUNTIFS('Participant Responses'!$K$2:$K$1000,"2",'Participant Responses'!$B$2:$B$1000,"&gt;=20",'Participant Responses'!$B$2:$B$1000,"&lt;=24")</f>
        <v>0</v>
      </c>
      <c r="I63" s="4">
        <f>COUNTIFS('Participant Responses'!$K$2:$K$1000,"2",'Participant Responses'!$B$2:$B$1000,"&gt;=25",'Participant Responses'!$B$2:$B$1000,"&lt;=44")</f>
        <v>0</v>
      </c>
      <c r="J63" s="4">
        <f>COUNTIFS('Participant Responses'!$K$2:$K$1000,"2",'Participant Responses'!$B$2:$B$1000,"&gt;=45",'Participant Responses'!$B$2:$B$1000,"&lt;=54")</f>
        <v>0</v>
      </c>
      <c r="K63" s="4">
        <f>COUNTIFS('Participant Responses'!$K$2:$K$1000,"2",'Participant Responses'!$B$2:$B$1000,"&gt;=55",'Participant Responses'!$B$2:$B$1000,"&lt;=64")</f>
        <v>0</v>
      </c>
      <c r="L63" s="4">
        <f>COUNTIFS('Participant Responses'!$K$2:$K$1000,"2",'Participant Responses'!$B$2:$B$1000,"&gt;=65",'Participant Responses'!$B$2:$B$1000,"&lt;=74")</f>
        <v>0</v>
      </c>
      <c r="M63" s="4">
        <f>COUNTIFS('Participant Responses'!$K$2:$K$1000,"2",'Participant Responses'!$B$2:$B$1000,"&gt;=75",'Participant Responses'!$B$2:$B$1000,"&lt;=84")</f>
        <v>0</v>
      </c>
      <c r="N63" s="4">
        <f>COUNTIFS('Participant Responses'!$K$2:$K$1000,"2",'Participant Responses'!$B$2:$B$1000,"&gt;85")</f>
        <v>0</v>
      </c>
    </row>
    <row r="64" spans="1:14">
      <c r="A64" s="3" t="s">
        <v>49</v>
      </c>
      <c r="B64" s="13">
        <f>COUNTIF('Participant Responses'!$K$2:$K$1000,"3")</f>
        <v>0</v>
      </c>
      <c r="C64" s="7">
        <f>COUNTIFS('Participant Responses'!$K$2:$K$1000,"3",'Participant Responses'!$C$2:$C$1000,"m")</f>
        <v>0</v>
      </c>
      <c r="D64" s="4">
        <f>COUNTIFS('Participant Responses'!$K$2:$K$1000,"3",'Participant Responses'!$C$2:$C$1000,"f")</f>
        <v>0</v>
      </c>
      <c r="E64" s="4">
        <f>COUNTIFS('Participant Responses'!$K$2:$K$1000,"3",'Participant Responses'!$B$2:$B$1000,"&lt;=4")</f>
        <v>0</v>
      </c>
      <c r="F64" s="4">
        <f>COUNTIFS('Participant Responses'!$K$2:$K$1000,"3",'Participant Responses'!$B$2:$B$1000,"&gt;=5",'Participant Responses'!$B$2:$B$1000,"&lt;=14")</f>
        <v>0</v>
      </c>
      <c r="G64" s="4">
        <f>COUNTIFS('Participant Responses'!$K$2:$K$1000,"3",'Participant Responses'!$B$2:$B$1000,"&gt;=15",'Participant Responses'!$B$2:$B$1000,"&lt;=19")</f>
        <v>0</v>
      </c>
      <c r="H64" s="4">
        <f>COUNTIFS('Participant Responses'!$K$2:$K$1000,"3",'Participant Responses'!$B$2:$B$1000,"&gt;=20",'Participant Responses'!$B$2:$B$1000,"&lt;=24")</f>
        <v>0</v>
      </c>
      <c r="I64" s="4">
        <f>COUNTIFS('Participant Responses'!$K$2:$K$1000,"3",'Participant Responses'!$B$2:$B$1000,"&gt;=25",'Participant Responses'!$B$2:$B$1000,"&lt;=44")</f>
        <v>0</v>
      </c>
      <c r="J64" s="4">
        <f>COUNTIFS('Participant Responses'!$K$2:$K$1000,"3",'Participant Responses'!$B$2:$B$1000,"&gt;=45",'Participant Responses'!$B$2:$B$1000,"&lt;=54")</f>
        <v>0</v>
      </c>
      <c r="K64" s="4">
        <f>COUNTIFS('Participant Responses'!$K$2:$K$1000,"3",'Participant Responses'!$B$2:$B$1000,"&gt;=55",'Participant Responses'!$B$2:$B$1000,"&lt;=64")</f>
        <v>0</v>
      </c>
      <c r="L64" s="4">
        <f>COUNTIFS('Participant Responses'!$K$2:$K$1000,"3",'Participant Responses'!$B$2:$B$1000,"&gt;=65",'Participant Responses'!$B$2:$B$1000,"&lt;=74")</f>
        <v>0</v>
      </c>
      <c r="M64" s="4">
        <f>COUNTIFS('Participant Responses'!$K$2:$K$1000,"3",'Participant Responses'!$B$2:$B$1000,"&gt;=75",'Participant Responses'!$B$2:$B$1000,"&lt;=84")</f>
        <v>0</v>
      </c>
      <c r="N64" s="4">
        <f>COUNTIFS('Participant Responses'!$K$2:$K$1000,"3",'Participant Responses'!$B$2:$B$1000,"&gt;85")</f>
        <v>0</v>
      </c>
    </row>
    <row r="65" spans="1:14">
      <c r="A65" s="3" t="s">
        <v>50</v>
      </c>
      <c r="B65" s="13">
        <f>COUNTIF('Participant Responses'!$K$2:$K$1000,"4")</f>
        <v>0</v>
      </c>
      <c r="C65" s="7">
        <f>COUNTIFS('Participant Responses'!$K$2:$K$1000,"4",'Participant Responses'!$C$2:$C$1000,"m")</f>
        <v>0</v>
      </c>
      <c r="D65" s="4">
        <f>COUNTIFS('Participant Responses'!$K$2:$K$1000,"4",'Participant Responses'!$C$2:$C$1000,"f")</f>
        <v>0</v>
      </c>
      <c r="E65" s="4">
        <f>COUNTIFS('Participant Responses'!$K$2:$K$1000,"4",'Participant Responses'!$B$2:$B$1000,"&lt;=4")</f>
        <v>0</v>
      </c>
      <c r="F65" s="4">
        <f>COUNTIFS('Participant Responses'!$K$2:$K$1000,"4",'Participant Responses'!$B$2:$B$1000,"&gt;=5",'Participant Responses'!$B$2:$B$1000,"&lt;=14")</f>
        <v>0</v>
      </c>
      <c r="G65" s="4">
        <f>COUNTIFS('Participant Responses'!$K$2:$K$1000,"4",'Participant Responses'!$B$2:$B$1000,"&gt;=15",'Participant Responses'!$B$2:$B$1000,"&lt;=19")</f>
        <v>0</v>
      </c>
      <c r="H65" s="4">
        <f>COUNTIFS('Participant Responses'!$K$2:$K$1000,"4",'Participant Responses'!$B$2:$B$1000,"&gt;=20",'Participant Responses'!$B$2:$B$1000,"&lt;=24")</f>
        <v>0</v>
      </c>
      <c r="I65" s="4">
        <f>COUNTIFS('Participant Responses'!$K$2:$K$1000,"4",'Participant Responses'!$B$2:$B$1000,"&gt;=25",'Participant Responses'!$B$2:$B$1000,"&lt;=44")</f>
        <v>0</v>
      </c>
      <c r="J65" s="4">
        <f>COUNTIFS('Participant Responses'!$K$2:$K$1000,"4",'Participant Responses'!$B$2:$B$1000,"&gt;=45",'Participant Responses'!$B$2:$B$1000,"&lt;=54")</f>
        <v>0</v>
      </c>
      <c r="K65" s="4">
        <f>COUNTIFS('Participant Responses'!$K$2:$K$1000,"4",'Participant Responses'!$B$2:$B$1000,"&gt;=55",'Participant Responses'!$B$2:$B$1000,"&lt;=64")</f>
        <v>0</v>
      </c>
      <c r="L65" s="4">
        <f>COUNTIFS('Participant Responses'!$K$2:$K$1000,"4",'Participant Responses'!$B$2:$B$1000,"&gt;=65",'Participant Responses'!$B$2:$B$1000,"&lt;=74")</f>
        <v>0</v>
      </c>
      <c r="M65" s="4">
        <f>COUNTIFS('Participant Responses'!$K$2:$K$1000,"4",'Participant Responses'!$B$2:$B$1000,"&gt;=75",'Participant Responses'!$B$2:$B$1000,"&lt;=84")</f>
        <v>0</v>
      </c>
      <c r="N65" s="4">
        <f>COUNTIFS('Participant Responses'!$K$2:$K$1000,"4",'Participant Responses'!$B$2:$B$1000,"&gt;85")</f>
        <v>0</v>
      </c>
    </row>
    <row r="66" spans="1:14">
      <c r="A66" s="3" t="s">
        <v>51</v>
      </c>
      <c r="B66" s="13">
        <f>COUNTIF('Participant Responses'!$K$2:$K$1000,"5")</f>
        <v>0</v>
      </c>
      <c r="C66" s="7">
        <f>COUNTIFS('Participant Responses'!$K$2:$K$1000,"5",'Participant Responses'!$C$2:$C$1000,"m")</f>
        <v>0</v>
      </c>
      <c r="D66" s="4">
        <f>COUNTIFS('Participant Responses'!$K$2:$K$1000,"5",'Participant Responses'!$C$2:$C$1000,"f")</f>
        <v>0</v>
      </c>
      <c r="E66" s="4">
        <f>COUNTIFS('Participant Responses'!$K$2:$K$1000,"5",'Participant Responses'!$B$2:$B$1000,"&lt;=4")</f>
        <v>0</v>
      </c>
      <c r="F66" s="4">
        <f>COUNTIFS('Participant Responses'!$K$2:$K$1000,"5",'Participant Responses'!$B$2:$B$1000,"&gt;=5",'Participant Responses'!$B$2:$B$1000,"&lt;=14")</f>
        <v>0</v>
      </c>
      <c r="G66" s="4">
        <f>COUNTIFS('Participant Responses'!$K$2:$K$1000,"5",'Participant Responses'!$B$2:$B$1000,"&gt;=15",'Participant Responses'!$B$2:$B$1000,"&lt;=19")</f>
        <v>0</v>
      </c>
      <c r="H66" s="4">
        <f>COUNTIFS('Participant Responses'!$K$2:$K$1000,"5",'Participant Responses'!$B$2:$B$1000,"&gt;=20",'Participant Responses'!$B$2:$B$1000,"&lt;=24")</f>
        <v>0</v>
      </c>
      <c r="I66" s="4">
        <f>COUNTIFS('Participant Responses'!$K$2:$K$1000,"5",'Participant Responses'!$B$2:$B$1000,"&gt;=25",'Participant Responses'!$B$2:$B$1000,"&lt;=44")</f>
        <v>0</v>
      </c>
      <c r="J66" s="4">
        <f>COUNTIFS('Participant Responses'!$K$2:$K$1000,"5",'Participant Responses'!$B$2:$B$1000,"&gt;=45",'Participant Responses'!$B$2:$B$1000,"&lt;=54")</f>
        <v>0</v>
      </c>
      <c r="K66" s="4">
        <f>COUNTIFS('Participant Responses'!$K$2:$K$1000,"5",'Participant Responses'!$B$2:$B$1000,"&gt;=55",'Participant Responses'!$B$2:$B$1000,"&lt;=64")</f>
        <v>0</v>
      </c>
      <c r="L66" s="4">
        <f>COUNTIFS('Participant Responses'!$K$2:$K$1000,"5",'Participant Responses'!$B$2:$B$1000,"&gt;=65",'Participant Responses'!$B$2:$B$1000,"&lt;=74")</f>
        <v>0</v>
      </c>
      <c r="M66" s="4">
        <f>COUNTIFS('Participant Responses'!$K$2:$K$1000,"5",'Participant Responses'!$B$2:$B$1000,"&gt;=75",'Participant Responses'!$B$2:$B$1000,"&lt;=84")</f>
        <v>0</v>
      </c>
      <c r="N66" s="4">
        <f>COUNTIFS('Participant Responses'!$K$2:$K$1000,"5",'Participant Responses'!$B$2:$B$1000,"&gt;85")</f>
        <v>0</v>
      </c>
    </row>
    <row r="68" spans="1:14" ht="45">
      <c r="A68" s="8" t="s">
        <v>57</v>
      </c>
      <c r="B68" s="11" t="s">
        <v>15</v>
      </c>
      <c r="C68" s="23" t="s">
        <v>2</v>
      </c>
      <c r="D68" s="24"/>
      <c r="E68" s="24" t="s">
        <v>5</v>
      </c>
      <c r="F68" s="24"/>
      <c r="G68" s="24"/>
      <c r="H68" s="24"/>
      <c r="I68" s="24"/>
      <c r="J68" s="24"/>
      <c r="K68" s="24"/>
      <c r="L68" s="24"/>
      <c r="M68" s="24"/>
      <c r="N68" s="24"/>
    </row>
    <row r="69" spans="1:14">
      <c r="A69" s="3"/>
      <c r="B69" s="13"/>
      <c r="C69" s="7" t="s">
        <v>13</v>
      </c>
      <c r="D69" s="4" t="s">
        <v>14</v>
      </c>
      <c r="E69" s="3" t="s">
        <v>6</v>
      </c>
      <c r="F69" s="3" t="s">
        <v>17</v>
      </c>
      <c r="G69" s="3" t="s">
        <v>7</v>
      </c>
      <c r="H69" s="3" t="s">
        <v>8</v>
      </c>
      <c r="I69" s="3" t="s">
        <v>9</v>
      </c>
      <c r="J69" s="3" t="s">
        <v>10</v>
      </c>
      <c r="K69" s="3" t="s">
        <v>11</v>
      </c>
      <c r="L69" s="3" t="s">
        <v>18</v>
      </c>
      <c r="M69" s="3" t="s">
        <v>12</v>
      </c>
      <c r="N69" s="3" t="s">
        <v>16</v>
      </c>
    </row>
    <row r="70" spans="1:14">
      <c r="A70" s="9" t="s">
        <v>47</v>
      </c>
      <c r="B70" s="12">
        <f>COUNTIF('Participant Responses'!$L$2:$L$1000,"1")</f>
        <v>0</v>
      </c>
      <c r="C70" s="10">
        <f>COUNTIFS('Participant Responses'!$L$2:$L$1000,"1",'Participant Responses'!$C$2:$C$1000,"m")</f>
        <v>0</v>
      </c>
      <c r="D70" s="4">
        <f>COUNTIFS('Participant Responses'!$L$2:$L$1000,"1",'Participant Responses'!$C$2:$C$1000,"f")</f>
        <v>0</v>
      </c>
      <c r="E70" s="5">
        <f>COUNTIFS('Participant Responses'!$L$2:$L$1000,"1",'Participant Responses'!$B$2:$B$1000,"&lt;=4")</f>
        <v>0</v>
      </c>
      <c r="F70" s="4">
        <f>COUNTIFS('Participant Responses'!$L$2:$L$1000,"1",'Participant Responses'!$B$2:$B$1000,"&gt;=5",'Participant Responses'!$B$2:$B$1000,"&lt;=14")</f>
        <v>0</v>
      </c>
      <c r="G70" s="4">
        <f>COUNTIFS('Participant Responses'!$L$2:$L$1000,"1",'Participant Responses'!$B$2:$B$1000,"&gt;=15",'Participant Responses'!$B$2:$B$1000,"&lt;=19")</f>
        <v>0</v>
      </c>
      <c r="H70" s="4">
        <f>COUNTIFS('Participant Responses'!$L$2:$L$1000,"1",'Participant Responses'!$B$2:$B$1000,"&gt;=20",'Participant Responses'!$B$2:$B$1000,"&lt;=24")</f>
        <v>0</v>
      </c>
      <c r="I70" s="4">
        <f>COUNTIFS('Participant Responses'!$L$2:$L$1000,"1",'Participant Responses'!$B$2:$B$1000,"&gt;=25",'Participant Responses'!$B$2:$B$1000,"&lt;=44")</f>
        <v>0</v>
      </c>
      <c r="J70" s="4">
        <f>COUNTIFS('Participant Responses'!$L$2:$L$1000,"1",'Participant Responses'!$B$2:$B$1000,"&gt;=45",'Participant Responses'!$B$2:$B$1000,"&lt;=54")</f>
        <v>0</v>
      </c>
      <c r="K70" s="4">
        <f>COUNTIFS('Participant Responses'!$L$2:$L$1000,"1",'Participant Responses'!$B$2:$B$1000,"&gt;=55",'Participant Responses'!$B$2:$B$1000,"&lt;=64")</f>
        <v>0</v>
      </c>
      <c r="L70" s="4">
        <f>COUNTIFS('Participant Responses'!$L$2:$L$1000,"1",'Participant Responses'!$B$2:$B$1000,"&gt;=65",'Participant Responses'!$B$2:$B$1000,"&lt;=74")</f>
        <v>0</v>
      </c>
      <c r="M70" s="4">
        <f>COUNTIFS('Participant Responses'!$L$2:$L$1000,"1",'Participant Responses'!$B$2:$B$1000,"&gt;=75",'Participant Responses'!$B$2:$B$1000,"&lt;=84")</f>
        <v>0</v>
      </c>
      <c r="N70" s="4">
        <f>COUNTIFS('Participant Responses'!$L$2:$L$1000,"1",'Participant Responses'!$B$2:$B$1000,"&gt;=85")</f>
        <v>0</v>
      </c>
    </row>
    <row r="71" spans="1:14">
      <c r="A71" s="3" t="s">
        <v>48</v>
      </c>
      <c r="B71" s="13">
        <f>COUNTIF('Participant Responses'!$L$2:$L$1000,"2")</f>
        <v>0</v>
      </c>
      <c r="C71" s="7">
        <f>COUNTIFS('Participant Responses'!$L$2:$L$1000,"2",'Participant Responses'!$C$2:$C$1000,"m")</f>
        <v>0</v>
      </c>
      <c r="D71" s="4">
        <f>COUNTIFS('Participant Responses'!$L$2:$L$1000,"2",'Participant Responses'!$C$2:$C$1000,"f")</f>
        <v>0</v>
      </c>
      <c r="E71" s="4">
        <f>COUNTIFS('Participant Responses'!$L$2:$L$1000,"2",'Participant Responses'!$B$2:$B$1000,"&lt;=4")</f>
        <v>0</v>
      </c>
      <c r="F71" s="4">
        <f>COUNTIFS('Participant Responses'!$L$2:$L$1000,"2",'Participant Responses'!$B$2:$B$1000,"&gt;=5",'Participant Responses'!$B$2:$B$1000,"&lt;=14")</f>
        <v>0</v>
      </c>
      <c r="G71" s="4">
        <f>COUNTIFS('Participant Responses'!$L$2:$L$1000,"2",'Participant Responses'!$B$2:$B$1000,"&gt;=15",'Participant Responses'!$B$2:$B$1000,"&lt;=19")</f>
        <v>0</v>
      </c>
      <c r="H71" s="4">
        <f>COUNTIFS('Participant Responses'!$L$2:$L$1000,"2",'Participant Responses'!$B$2:$B$1000,"&gt;=20",'Participant Responses'!$B$2:$B$1000,"&lt;=24")</f>
        <v>0</v>
      </c>
      <c r="I71" s="4">
        <f>COUNTIFS('Participant Responses'!$L$2:$L$1000,"2",'Participant Responses'!$B$2:$B$1000,"&gt;=25",'Participant Responses'!$B$2:$B$1000,"&lt;=44")</f>
        <v>0</v>
      </c>
      <c r="J71" s="4">
        <f>COUNTIFS('Participant Responses'!$L$2:$L$1000,"2",'Participant Responses'!$B$2:$B$1000,"&gt;=45",'Participant Responses'!$B$2:$B$1000,"&lt;=54")</f>
        <v>0</v>
      </c>
      <c r="K71" s="4">
        <f>COUNTIFS('Participant Responses'!$L$2:$L$1000,"2",'Participant Responses'!$B$2:$B$1000,"&gt;=55",'Participant Responses'!$B$2:$B$1000,"&lt;=64")</f>
        <v>0</v>
      </c>
      <c r="L71" s="4">
        <f>COUNTIFS('Participant Responses'!$L$2:$L$1000,"2",'Participant Responses'!$B$2:$B$1000,"&gt;=65",'Participant Responses'!$B$2:$B$1000,"&lt;=74")</f>
        <v>0</v>
      </c>
      <c r="M71" s="4">
        <f>COUNTIFS('Participant Responses'!$L$2:$L$1000,"2",'Participant Responses'!$B$2:$B$1000,"&gt;=75",'Participant Responses'!$B$2:$B$1000,"&lt;=84")</f>
        <v>0</v>
      </c>
      <c r="N71" s="4">
        <f>COUNTIFS('Participant Responses'!$L$2:$L$1000,"2",'Participant Responses'!$B$2:$B$1000,"&gt;85")</f>
        <v>0</v>
      </c>
    </row>
    <row r="72" spans="1:14">
      <c r="A72" s="3" t="s">
        <v>49</v>
      </c>
      <c r="B72" s="13">
        <f>COUNTIF('Participant Responses'!$L$2:$L$1000,"3")</f>
        <v>0</v>
      </c>
      <c r="C72" s="7">
        <f>COUNTIFS('Participant Responses'!$L$2:$L$1000,"3",'Participant Responses'!$C$2:$C$1000,"m")</f>
        <v>0</v>
      </c>
      <c r="D72" s="4">
        <f>COUNTIFS('Participant Responses'!$L$2:$L$1000,"3",'Participant Responses'!$C$2:$C$1000,"f")</f>
        <v>0</v>
      </c>
      <c r="E72" s="4">
        <f>COUNTIFS('Participant Responses'!$L$2:$L$1000,"3",'Participant Responses'!$B$2:$B$1000,"&lt;=4")</f>
        <v>0</v>
      </c>
      <c r="F72" s="4">
        <f>COUNTIFS('Participant Responses'!$L$2:$L$1000,"3",'Participant Responses'!$B$2:$B$1000,"&gt;=5",'Participant Responses'!$B$2:$B$1000,"&lt;=14")</f>
        <v>0</v>
      </c>
      <c r="G72" s="4">
        <f>COUNTIFS('Participant Responses'!$L$2:$L$1000,"3",'Participant Responses'!$B$2:$B$1000,"&gt;=15",'Participant Responses'!$B$2:$B$1000,"&lt;=19")</f>
        <v>0</v>
      </c>
      <c r="H72" s="4">
        <f>COUNTIFS('Participant Responses'!$L$2:$L$1000,"3",'Participant Responses'!$B$2:$B$1000,"&gt;=20",'Participant Responses'!$B$2:$B$1000,"&lt;=24")</f>
        <v>0</v>
      </c>
      <c r="I72" s="4">
        <f>COUNTIFS('Participant Responses'!$L$2:$L$1000,"3",'Participant Responses'!$B$2:$B$1000,"&gt;=25",'Participant Responses'!$B$2:$B$1000,"&lt;=44")</f>
        <v>0</v>
      </c>
      <c r="J72" s="4">
        <f>COUNTIFS('Participant Responses'!$L$2:$L$1000,"3",'Participant Responses'!$B$2:$B$1000,"&gt;=45",'Participant Responses'!$B$2:$B$1000,"&lt;=54")</f>
        <v>0</v>
      </c>
      <c r="K72" s="4">
        <f>COUNTIFS('Participant Responses'!$L$2:$L$1000,"3",'Participant Responses'!$B$2:$B$1000,"&gt;=55",'Participant Responses'!$B$2:$B$1000,"&lt;=64")</f>
        <v>0</v>
      </c>
      <c r="L72" s="4">
        <f>COUNTIFS('Participant Responses'!$L$2:$L$1000,"3",'Participant Responses'!$B$2:$B$1000,"&gt;=65",'Participant Responses'!$B$2:$B$1000,"&lt;=74")</f>
        <v>0</v>
      </c>
      <c r="M72" s="4">
        <f>COUNTIFS('Participant Responses'!$L$2:$L$1000,"3",'Participant Responses'!$B$2:$B$1000,"&gt;=75",'Participant Responses'!$B$2:$B$1000,"&lt;=84")</f>
        <v>0</v>
      </c>
      <c r="N72" s="4">
        <f>COUNTIFS('Participant Responses'!$L$2:$L$1000,"3",'Participant Responses'!$B$2:$B$1000,"&gt;85")</f>
        <v>0</v>
      </c>
    </row>
    <row r="73" spans="1:14">
      <c r="A73" s="3" t="s">
        <v>50</v>
      </c>
      <c r="B73" s="13">
        <f>COUNTIF('Participant Responses'!$L$2:$L$1000,"4")</f>
        <v>0</v>
      </c>
      <c r="C73" s="7">
        <f>COUNTIFS('Participant Responses'!$L$2:$L$1000,"4",'Participant Responses'!$C$2:$C$1000,"m")</f>
        <v>0</v>
      </c>
      <c r="D73" s="4">
        <f>COUNTIFS('Participant Responses'!$L$2:$L$1000,"4",'Participant Responses'!$C$2:$C$1000,"f")</f>
        <v>0</v>
      </c>
      <c r="E73" s="4">
        <f>COUNTIFS('Participant Responses'!$L$2:$L$1000,"4",'Participant Responses'!$B$2:$B$1000,"&lt;=4")</f>
        <v>0</v>
      </c>
      <c r="F73" s="4">
        <f>COUNTIFS('Participant Responses'!$L$2:$L$1000,"4",'Participant Responses'!$B$2:$B$1000,"&gt;=5",'Participant Responses'!$B$2:$B$1000,"&lt;=14")</f>
        <v>0</v>
      </c>
      <c r="G73" s="4">
        <f>COUNTIFS('Participant Responses'!$L$2:$L$1000,"4",'Participant Responses'!$B$2:$B$1000,"&gt;=15",'Participant Responses'!$B$2:$B$1000,"&lt;=19")</f>
        <v>0</v>
      </c>
      <c r="H73" s="4">
        <f>COUNTIFS('Participant Responses'!$L$2:$L$1000,"4",'Participant Responses'!$B$2:$B$1000,"&gt;=20",'Participant Responses'!$B$2:$B$1000,"&lt;=24")</f>
        <v>0</v>
      </c>
      <c r="I73" s="4">
        <f>COUNTIFS('Participant Responses'!$L$2:$L$1000,"4",'Participant Responses'!$B$2:$B$1000,"&gt;=25",'Participant Responses'!$B$2:$B$1000,"&lt;=44")</f>
        <v>0</v>
      </c>
      <c r="J73" s="4">
        <f>COUNTIFS('Participant Responses'!$L$2:$L$1000,"4",'Participant Responses'!$B$2:$B$1000,"&gt;=45",'Participant Responses'!$B$2:$B$1000,"&lt;=54")</f>
        <v>0</v>
      </c>
      <c r="K73" s="4">
        <f>COUNTIFS('Participant Responses'!$L$2:$L$1000,"4",'Participant Responses'!$B$2:$B$1000,"&gt;=55",'Participant Responses'!$B$2:$B$1000,"&lt;=64")</f>
        <v>0</v>
      </c>
      <c r="L73" s="4">
        <f>COUNTIFS('Participant Responses'!$L$2:$L$1000,"4",'Participant Responses'!$B$2:$B$1000,"&gt;=65",'Participant Responses'!$B$2:$B$1000,"&lt;=74")</f>
        <v>0</v>
      </c>
      <c r="M73" s="4">
        <f>COUNTIFS('Participant Responses'!$L$2:$L$1000,"4",'Participant Responses'!$B$2:$B$1000,"&gt;=75",'Participant Responses'!$B$2:$B$1000,"&lt;=84")</f>
        <v>0</v>
      </c>
      <c r="N73" s="4">
        <f>COUNTIFS('Participant Responses'!$L$2:$L$1000,"4",'Participant Responses'!$B$2:$B$1000,"&gt;85")</f>
        <v>0</v>
      </c>
    </row>
    <row r="74" spans="1:14">
      <c r="A74" s="3" t="s">
        <v>51</v>
      </c>
      <c r="B74" s="13">
        <f>COUNTIF('Participant Responses'!$L$2:$L$1000,"5")</f>
        <v>0</v>
      </c>
      <c r="C74" s="7">
        <f>COUNTIFS('Participant Responses'!$L$2:$L$1000,"5",'Participant Responses'!$C$2:$C$1000,"m")</f>
        <v>0</v>
      </c>
      <c r="D74" s="4">
        <f>COUNTIFS('Participant Responses'!$L$2:$L$1000,"5",'Participant Responses'!$C$2:$C$1000,"f")</f>
        <v>0</v>
      </c>
      <c r="E74" s="4">
        <f>COUNTIFS('Participant Responses'!$L$2:$L$1000,"5",'Participant Responses'!$B$2:$B$1000,"&lt;=4")</f>
        <v>0</v>
      </c>
      <c r="F74" s="4">
        <f>COUNTIFS('Participant Responses'!$L$2:$L$1000,"5",'Participant Responses'!$B$2:$B$1000,"&gt;=5",'Participant Responses'!$B$2:$B$1000,"&lt;=14")</f>
        <v>0</v>
      </c>
      <c r="G74" s="4">
        <f>COUNTIFS('Participant Responses'!$L$2:$L$1000,"5",'Participant Responses'!$B$2:$B$1000,"&gt;=15",'Participant Responses'!$B$2:$B$1000,"&lt;=19")</f>
        <v>0</v>
      </c>
      <c r="H74" s="4">
        <f>COUNTIFS('Participant Responses'!$L$2:$L$1000,"5",'Participant Responses'!$B$2:$B$1000,"&gt;=20",'Participant Responses'!$B$2:$B$1000,"&lt;=24")</f>
        <v>0</v>
      </c>
      <c r="I74" s="4">
        <f>COUNTIFS('Participant Responses'!$L$2:$L$1000,"5",'Participant Responses'!$B$2:$B$1000,"&gt;=25",'Participant Responses'!$B$2:$B$1000,"&lt;=44")</f>
        <v>0</v>
      </c>
      <c r="J74" s="4">
        <f>COUNTIFS('Participant Responses'!$L$2:$L$1000,"5",'Participant Responses'!$B$2:$B$1000,"&gt;=45",'Participant Responses'!$B$2:$B$1000,"&lt;=54")</f>
        <v>0</v>
      </c>
      <c r="K74" s="4">
        <f>COUNTIFS('Participant Responses'!$L$2:$L$1000,"5",'Participant Responses'!$B$2:$B$1000,"&gt;=55",'Participant Responses'!$B$2:$B$1000,"&lt;=64")</f>
        <v>0</v>
      </c>
      <c r="L74" s="4">
        <f>COUNTIFS('Participant Responses'!$L$2:$L$1000,"5",'Participant Responses'!$B$2:$B$1000,"&gt;=65",'Participant Responses'!$B$2:$B$1000,"&lt;=74")</f>
        <v>0</v>
      </c>
      <c r="M74" s="4">
        <f>COUNTIFS('Participant Responses'!$L$2:$L$1000,"5",'Participant Responses'!$B$2:$B$1000,"&gt;=75",'Participant Responses'!$B$2:$B$1000,"&lt;=84")</f>
        <v>0</v>
      </c>
      <c r="N74" s="4">
        <f>COUNTIFS('Participant Responses'!$L$2:$L$1000,"5",'Participant Responses'!$B$2:$B$1000,"&gt;85")</f>
        <v>0</v>
      </c>
    </row>
    <row r="76" spans="1:14" ht="60">
      <c r="A76" s="8" t="s">
        <v>58</v>
      </c>
      <c r="B76" s="11" t="s">
        <v>15</v>
      </c>
      <c r="C76" s="23" t="s">
        <v>2</v>
      </c>
      <c r="D76" s="24"/>
      <c r="E76" s="24" t="s">
        <v>5</v>
      </c>
      <c r="F76" s="24"/>
      <c r="G76" s="24"/>
      <c r="H76" s="24"/>
      <c r="I76" s="24"/>
      <c r="J76" s="24"/>
      <c r="K76" s="24"/>
      <c r="L76" s="24"/>
      <c r="M76" s="24"/>
      <c r="N76" s="24"/>
    </row>
    <row r="77" spans="1:14">
      <c r="A77" s="3"/>
      <c r="B77" s="13"/>
      <c r="C77" s="7" t="s">
        <v>13</v>
      </c>
      <c r="D77" s="4" t="s">
        <v>14</v>
      </c>
      <c r="E77" s="3" t="s">
        <v>6</v>
      </c>
      <c r="F77" s="3" t="s">
        <v>17</v>
      </c>
      <c r="G77" s="3" t="s">
        <v>7</v>
      </c>
      <c r="H77" s="3" t="s">
        <v>8</v>
      </c>
      <c r="I77" s="3" t="s">
        <v>9</v>
      </c>
      <c r="J77" s="3" t="s">
        <v>10</v>
      </c>
      <c r="K77" s="3" t="s">
        <v>11</v>
      </c>
      <c r="L77" s="3" t="s">
        <v>18</v>
      </c>
      <c r="M77" s="3" t="s">
        <v>12</v>
      </c>
      <c r="N77" s="3" t="s">
        <v>16</v>
      </c>
    </row>
    <row r="78" spans="1:14">
      <c r="A78" s="9" t="s">
        <v>47</v>
      </c>
      <c r="B78" s="12">
        <f>COUNTIF('Participant Responses'!$M$2:$M$1000,"1")</f>
        <v>0</v>
      </c>
      <c r="C78" s="10">
        <f>COUNTIFS('Participant Responses'!$M$2:$M$1000,"1",'Participant Responses'!$C$2:$C$1000,"m")</f>
        <v>0</v>
      </c>
      <c r="D78" s="4">
        <f>COUNTIFS('Participant Responses'!$M$2:$M$1000,"1",'Participant Responses'!$C$2:$C$1000,"f")</f>
        <v>0</v>
      </c>
      <c r="E78" s="5">
        <f>COUNTIFS('Participant Responses'!$M$2:$M$1000,"1",'Participant Responses'!$B$2:$B$1000,"&lt;=4")</f>
        <v>0</v>
      </c>
      <c r="F78" s="4">
        <f>COUNTIFS('Participant Responses'!$M$2:$M$1000,"1",'Participant Responses'!$B$2:$B$1000,"&gt;=5",'Participant Responses'!$B$2:$B$1000,"&lt;=14")</f>
        <v>0</v>
      </c>
      <c r="G78" s="4">
        <f>COUNTIFS('Participant Responses'!$M$2:$M$1000,"1",'Participant Responses'!$B$2:$B$1000,"&gt;=15",'Participant Responses'!$B$2:$B$1000,"&lt;=19")</f>
        <v>0</v>
      </c>
      <c r="H78" s="4">
        <f>COUNTIFS('Participant Responses'!$M$2:$M$1000,"1",'Participant Responses'!$B$2:$B$1000,"&gt;=20",'Participant Responses'!$B$2:$B$1000,"&lt;=24")</f>
        <v>0</v>
      </c>
      <c r="I78" s="4">
        <f>COUNTIFS('Participant Responses'!$M$2:$M$1000,"1",'Participant Responses'!$B$2:$B$1000,"&gt;=25",'Participant Responses'!$B$2:$B$1000,"&lt;=44")</f>
        <v>0</v>
      </c>
      <c r="J78" s="4">
        <f>COUNTIFS('Participant Responses'!$M$2:$M$1000,"1",'Participant Responses'!$B$2:$B$1000,"&gt;=45",'Participant Responses'!$B$2:$B$1000,"&lt;=54")</f>
        <v>0</v>
      </c>
      <c r="K78" s="4">
        <f>COUNTIFS('Participant Responses'!$M$2:$M$1000,"1",'Participant Responses'!$B$2:$B$1000,"&gt;=55",'Participant Responses'!$B$2:$B$1000,"&lt;=64")</f>
        <v>0</v>
      </c>
      <c r="L78" s="4">
        <f>COUNTIFS('Participant Responses'!$M$2:$M$1000,"1",'Participant Responses'!$B$2:$B$1000,"&gt;=65",'Participant Responses'!$B$2:$B$1000,"&lt;=74")</f>
        <v>0</v>
      </c>
      <c r="M78" s="4">
        <f>COUNTIFS('Participant Responses'!$M$2:$M$1000,"1",'Participant Responses'!$B$2:$B$1000,"&gt;=75",'Participant Responses'!$B$2:$B$1000,"&lt;=84")</f>
        <v>0</v>
      </c>
      <c r="N78" s="4">
        <f>COUNTIFS('Participant Responses'!$M$2:$M$1000,"1",'Participant Responses'!$B$2:$B$1000,"&gt;=85")</f>
        <v>0</v>
      </c>
    </row>
    <row r="79" spans="1:14">
      <c r="A79" s="3" t="s">
        <v>48</v>
      </c>
      <c r="B79" s="13">
        <f>COUNTIF('Participant Responses'!$M$2:$M$1000,"2")</f>
        <v>0</v>
      </c>
      <c r="C79" s="7">
        <f>COUNTIFS('Participant Responses'!$M$2:$M$1000,"2",'Participant Responses'!$C$2:$C$1000,"m")</f>
        <v>0</v>
      </c>
      <c r="D79" s="4">
        <f>COUNTIFS('Participant Responses'!$M$2:$M$1000,"2",'Participant Responses'!$C$2:$C$1000,"f")</f>
        <v>0</v>
      </c>
      <c r="E79" s="4">
        <f>COUNTIFS('Participant Responses'!$M$2:$M$1000,"2",'Participant Responses'!$B$2:$B$1000,"&lt;=4")</f>
        <v>0</v>
      </c>
      <c r="F79" s="4">
        <f>COUNTIFS('Participant Responses'!$M$2:$M$1000,"2",'Participant Responses'!$B$2:$B$1000,"&gt;=5",'Participant Responses'!$B$2:$B$1000,"&lt;=14")</f>
        <v>0</v>
      </c>
      <c r="G79" s="4">
        <f>COUNTIFS('Participant Responses'!$M$2:$M$1000,"2",'Participant Responses'!$B$2:$B$1000,"&gt;=15",'Participant Responses'!$B$2:$B$1000,"&lt;=19")</f>
        <v>0</v>
      </c>
      <c r="H79" s="4">
        <f>COUNTIFS('Participant Responses'!$M$2:$M$1000,"2",'Participant Responses'!$B$2:$B$1000,"&gt;=20",'Participant Responses'!$B$2:$B$1000,"&lt;=24")</f>
        <v>0</v>
      </c>
      <c r="I79" s="4">
        <f>COUNTIFS('Participant Responses'!$M$2:$M$1000,"2",'Participant Responses'!$B$2:$B$1000,"&gt;=25",'Participant Responses'!$B$2:$B$1000,"&lt;=44")</f>
        <v>0</v>
      </c>
      <c r="J79" s="4">
        <f>COUNTIFS('Participant Responses'!$M$2:$M$1000,"2",'Participant Responses'!$B$2:$B$1000,"&gt;=45",'Participant Responses'!$B$2:$B$1000,"&lt;=54")</f>
        <v>0</v>
      </c>
      <c r="K79" s="4">
        <f>COUNTIFS('Participant Responses'!$M$2:$M$1000,"2",'Participant Responses'!$B$2:$B$1000,"&gt;=55",'Participant Responses'!$B$2:$B$1000,"&lt;=64")</f>
        <v>0</v>
      </c>
      <c r="L79" s="4">
        <f>COUNTIFS('Participant Responses'!$M$2:$M$1000,"2",'Participant Responses'!$B$2:$B$1000,"&gt;=65",'Participant Responses'!$B$2:$B$1000,"&lt;=74")</f>
        <v>0</v>
      </c>
      <c r="M79" s="4">
        <f>COUNTIFS('Participant Responses'!$M$2:$M$1000,"2",'Participant Responses'!$B$2:$B$1000,"&gt;=75",'Participant Responses'!$B$2:$B$1000,"&lt;=84")</f>
        <v>0</v>
      </c>
      <c r="N79" s="4">
        <f>COUNTIFS('Participant Responses'!$M$2:$M$1000,"2",'Participant Responses'!$B$2:$B$1000,"&gt;85")</f>
        <v>0</v>
      </c>
    </row>
    <row r="80" spans="1:14">
      <c r="A80" s="3" t="s">
        <v>49</v>
      </c>
      <c r="B80" s="13">
        <f>COUNTIF('Participant Responses'!$M$2:$M$1000,"3")</f>
        <v>0</v>
      </c>
      <c r="C80" s="7">
        <f>COUNTIFS('Participant Responses'!$M$2:$M$1000,"3",'Participant Responses'!$C$2:$C$1000,"m")</f>
        <v>0</v>
      </c>
      <c r="D80" s="4">
        <f>COUNTIFS('Participant Responses'!$M$2:$M$1000,"3",'Participant Responses'!$C$2:$C$1000,"f")</f>
        <v>0</v>
      </c>
      <c r="E80" s="4">
        <f>COUNTIFS('Participant Responses'!$M$2:$M$1000,"3",'Participant Responses'!$B$2:$B$1000,"&lt;=4")</f>
        <v>0</v>
      </c>
      <c r="F80" s="4">
        <f>COUNTIFS('Participant Responses'!$M$2:$M$1000,"3",'Participant Responses'!$B$2:$B$1000,"&gt;=5",'Participant Responses'!$B$2:$B$1000,"&lt;=14")</f>
        <v>0</v>
      </c>
      <c r="G80" s="4">
        <f>COUNTIFS('Participant Responses'!$M$2:$M$1000,"3",'Participant Responses'!$B$2:$B$1000,"&gt;=15",'Participant Responses'!$B$2:$B$1000,"&lt;=19")</f>
        <v>0</v>
      </c>
      <c r="H80" s="4">
        <f>COUNTIFS('Participant Responses'!$M$2:$M$1000,"3",'Participant Responses'!$B$2:$B$1000,"&gt;=20",'Participant Responses'!$B$2:$B$1000,"&lt;=24")</f>
        <v>0</v>
      </c>
      <c r="I80" s="4">
        <f>COUNTIFS('Participant Responses'!$M$2:$M$1000,"3",'Participant Responses'!$B$2:$B$1000,"&gt;=25",'Participant Responses'!$B$2:$B$1000,"&lt;=44")</f>
        <v>0</v>
      </c>
      <c r="J80" s="4">
        <f>COUNTIFS('Participant Responses'!$M$2:$M$1000,"3",'Participant Responses'!$B$2:$B$1000,"&gt;=45",'Participant Responses'!$B$2:$B$1000,"&lt;=54")</f>
        <v>0</v>
      </c>
      <c r="K80" s="4">
        <f>COUNTIFS('Participant Responses'!$M$2:$M$1000,"3",'Participant Responses'!$B$2:$B$1000,"&gt;=55",'Participant Responses'!$B$2:$B$1000,"&lt;=64")</f>
        <v>0</v>
      </c>
      <c r="L80" s="4">
        <f>COUNTIFS('Participant Responses'!$M$2:$M$1000,"3",'Participant Responses'!$B$2:$B$1000,"&gt;=65",'Participant Responses'!$B$2:$B$1000,"&lt;=74")</f>
        <v>0</v>
      </c>
      <c r="M80" s="4">
        <f>COUNTIFS('Participant Responses'!$M$2:$M$1000,"3",'Participant Responses'!$B$2:$B$1000,"&gt;=75",'Participant Responses'!$B$2:$B$1000,"&lt;=84")</f>
        <v>0</v>
      </c>
      <c r="N80" s="4">
        <f>COUNTIFS('Participant Responses'!$M$2:$M$1000,"3",'Participant Responses'!$B$2:$B$1000,"&gt;85")</f>
        <v>0</v>
      </c>
    </row>
    <row r="81" spans="1:14">
      <c r="A81" s="3" t="s">
        <v>50</v>
      </c>
      <c r="B81" s="13">
        <f>COUNTIF('Participant Responses'!$M$2:$M$1000,"4")</f>
        <v>0</v>
      </c>
      <c r="C81" s="7">
        <f>COUNTIFS('Participant Responses'!$M$2:$M$1000,"4",'Participant Responses'!$C$2:$C$1000,"m")</f>
        <v>0</v>
      </c>
      <c r="D81" s="4">
        <f>COUNTIFS('Participant Responses'!$M$2:$M$1000,"4",'Participant Responses'!$C$2:$C$1000,"f")</f>
        <v>0</v>
      </c>
      <c r="E81" s="4">
        <f>COUNTIFS('Participant Responses'!$M$2:$M$1000,"4",'Participant Responses'!$B$2:$B$1000,"&lt;=4")</f>
        <v>0</v>
      </c>
      <c r="F81" s="4">
        <f>COUNTIFS('Participant Responses'!$M$2:$M$1000,"4",'Participant Responses'!$B$2:$B$1000,"&gt;=5",'Participant Responses'!$B$2:$B$1000,"&lt;=14")</f>
        <v>0</v>
      </c>
      <c r="G81" s="4">
        <f>COUNTIFS('Participant Responses'!$M$2:$M$1000,"4",'Participant Responses'!$B$2:$B$1000,"&gt;=15",'Participant Responses'!$B$2:$B$1000,"&lt;=19")</f>
        <v>0</v>
      </c>
      <c r="H81" s="4">
        <f>COUNTIFS('Participant Responses'!$M$2:$M$1000,"4",'Participant Responses'!$B$2:$B$1000,"&gt;=20",'Participant Responses'!$B$2:$B$1000,"&lt;=24")</f>
        <v>0</v>
      </c>
      <c r="I81" s="4">
        <f>COUNTIFS('Participant Responses'!$M$2:$M$1000,"4",'Participant Responses'!$B$2:$B$1000,"&gt;=25",'Participant Responses'!$B$2:$B$1000,"&lt;=44")</f>
        <v>0</v>
      </c>
      <c r="J81" s="4">
        <f>COUNTIFS('Participant Responses'!$M$2:$M$1000,"4",'Participant Responses'!$B$2:$B$1000,"&gt;=45",'Participant Responses'!$B$2:$B$1000,"&lt;=54")</f>
        <v>0</v>
      </c>
      <c r="K81" s="4">
        <f>COUNTIFS('Participant Responses'!$M$2:$M$1000,"4",'Participant Responses'!$B$2:$B$1000,"&gt;=55",'Participant Responses'!$B$2:$B$1000,"&lt;=64")</f>
        <v>0</v>
      </c>
      <c r="L81" s="4">
        <f>COUNTIFS('Participant Responses'!$M$2:$M$1000,"4",'Participant Responses'!$B$2:$B$1000,"&gt;=65",'Participant Responses'!$B$2:$B$1000,"&lt;=74")</f>
        <v>0</v>
      </c>
      <c r="M81" s="4">
        <f>COUNTIFS('Participant Responses'!$M$2:$M$1000,"4",'Participant Responses'!$B$2:$B$1000,"&gt;=75",'Participant Responses'!$B$2:$B$1000,"&lt;=84")</f>
        <v>0</v>
      </c>
      <c r="N81" s="4">
        <f>COUNTIFS('Participant Responses'!$M$2:$M$1000,"4",'Participant Responses'!$B$2:$B$1000,"&gt;85")</f>
        <v>0</v>
      </c>
    </row>
    <row r="82" spans="1:14">
      <c r="A82" s="3" t="s">
        <v>51</v>
      </c>
      <c r="B82" s="13">
        <f>COUNTIF('Participant Responses'!$M$2:$M$1000,"5")</f>
        <v>0</v>
      </c>
      <c r="C82" s="7">
        <f>COUNTIFS('Participant Responses'!$M$2:$M$1000,"5",'Participant Responses'!$C$2:$C$1000,"m")</f>
        <v>0</v>
      </c>
      <c r="D82" s="4">
        <f>COUNTIFS('Participant Responses'!$M$2:$M$1000,"5",'Participant Responses'!$C$2:$C$1000,"f")</f>
        <v>0</v>
      </c>
      <c r="E82" s="4">
        <f>COUNTIFS('Participant Responses'!$M$2:$M$1000,"5",'Participant Responses'!$B$2:$B$1000,"&lt;=4")</f>
        <v>0</v>
      </c>
      <c r="F82" s="4">
        <f>COUNTIFS('Participant Responses'!$M$2:$M$1000,"5",'Participant Responses'!$B$2:$B$1000,"&gt;=5",'Participant Responses'!$B$2:$B$1000,"&lt;=14")</f>
        <v>0</v>
      </c>
      <c r="G82" s="4">
        <f>COUNTIFS('Participant Responses'!$M$2:$M$1000,"5",'Participant Responses'!$B$2:$B$1000,"&gt;=15",'Participant Responses'!$B$2:$B$1000,"&lt;=19")</f>
        <v>0</v>
      </c>
      <c r="H82" s="4">
        <f>COUNTIFS('Participant Responses'!$M$2:$M$1000,"5",'Participant Responses'!$B$2:$B$1000,"&gt;=20",'Participant Responses'!$B$2:$B$1000,"&lt;=24")</f>
        <v>0</v>
      </c>
      <c r="I82" s="4">
        <f>COUNTIFS('Participant Responses'!$M$2:$M$1000,"5",'Participant Responses'!$B$2:$B$1000,"&gt;=25",'Participant Responses'!$B$2:$B$1000,"&lt;=44")</f>
        <v>0</v>
      </c>
      <c r="J82" s="4">
        <f>COUNTIFS('Participant Responses'!$M$2:$M$1000,"5",'Participant Responses'!$B$2:$B$1000,"&gt;=45",'Participant Responses'!$B$2:$B$1000,"&lt;=54")</f>
        <v>0</v>
      </c>
      <c r="K82" s="4">
        <f>COUNTIFS('Participant Responses'!$M$2:$M$1000,"5",'Participant Responses'!$B$2:$B$1000,"&gt;=55",'Participant Responses'!$B$2:$B$1000,"&lt;=64")</f>
        <v>0</v>
      </c>
      <c r="L82" s="4">
        <f>COUNTIFS('Participant Responses'!$M$2:$M$1000,"5",'Participant Responses'!$B$2:$B$1000,"&gt;=65",'Participant Responses'!$B$2:$B$1000,"&lt;=74")</f>
        <v>0</v>
      </c>
      <c r="M82" s="4">
        <f>COUNTIFS('Participant Responses'!$M$2:$M$1000,"5",'Participant Responses'!$B$2:$B$1000,"&gt;=75",'Participant Responses'!$B$2:$B$1000,"&lt;=84")</f>
        <v>0</v>
      </c>
      <c r="N82" s="4">
        <f>COUNTIFS('Participant Responses'!$M$2:$M$1000,"5",'Participant Responses'!$B$2:$B$1000,"&gt;85")</f>
        <v>0</v>
      </c>
    </row>
    <row r="84" spans="1:14" ht="60">
      <c r="A84" s="8" t="s">
        <v>59</v>
      </c>
      <c r="B84" s="11" t="s">
        <v>15</v>
      </c>
      <c r="C84" s="23" t="s">
        <v>2</v>
      </c>
      <c r="D84" s="24"/>
      <c r="E84" s="24" t="s">
        <v>5</v>
      </c>
      <c r="F84" s="24"/>
      <c r="G84" s="24"/>
      <c r="H84" s="24"/>
      <c r="I84" s="24"/>
      <c r="J84" s="24"/>
      <c r="K84" s="24"/>
      <c r="L84" s="24"/>
      <c r="M84" s="24"/>
      <c r="N84" s="24"/>
    </row>
    <row r="85" spans="1:14">
      <c r="A85" s="3"/>
      <c r="B85" s="13"/>
      <c r="C85" s="7" t="s">
        <v>13</v>
      </c>
      <c r="D85" s="4" t="s">
        <v>14</v>
      </c>
      <c r="E85" s="3" t="s">
        <v>6</v>
      </c>
      <c r="F85" s="3" t="s">
        <v>17</v>
      </c>
      <c r="G85" s="3" t="s">
        <v>7</v>
      </c>
      <c r="H85" s="3" t="s">
        <v>8</v>
      </c>
      <c r="I85" s="3" t="s">
        <v>9</v>
      </c>
      <c r="J85" s="3" t="s">
        <v>10</v>
      </c>
      <c r="K85" s="3" t="s">
        <v>11</v>
      </c>
      <c r="L85" s="3" t="s">
        <v>18</v>
      </c>
      <c r="M85" s="3" t="s">
        <v>12</v>
      </c>
      <c r="N85" s="3" t="s">
        <v>16</v>
      </c>
    </row>
    <row r="86" spans="1:14">
      <c r="A86" s="9" t="s">
        <v>47</v>
      </c>
      <c r="B86" s="12">
        <f>COUNTIF('Participant Responses'!$N$2:$N$1000,"1")</f>
        <v>0</v>
      </c>
      <c r="C86" s="10">
        <f>COUNTIFS('Participant Responses'!$N$2:$N$1000,"1",'Participant Responses'!$C$2:$C$1000,"m")</f>
        <v>0</v>
      </c>
      <c r="D86" s="4">
        <f>COUNTIFS('Participant Responses'!$N$2:$N$1000,"1",'Participant Responses'!$C$2:$C$1000,"f")</f>
        <v>0</v>
      </c>
      <c r="E86" s="5">
        <f>COUNTIFS('Participant Responses'!$N$2:$N$1000,"1",'Participant Responses'!$B$2:$B$1000,"&lt;=4")</f>
        <v>0</v>
      </c>
      <c r="F86" s="4">
        <f>COUNTIFS('Participant Responses'!$N$2:$N$1000,"1",'Participant Responses'!$B$2:$B$1000,"&gt;=5",'Participant Responses'!$B$2:$B$1000,"&lt;=14")</f>
        <v>0</v>
      </c>
      <c r="G86" s="4">
        <f>COUNTIFS('Participant Responses'!$N$2:$N$1000,"1",'Participant Responses'!$B$2:$B$1000,"&gt;=15",'Participant Responses'!$B$2:$B$1000,"&lt;=19")</f>
        <v>0</v>
      </c>
      <c r="H86" s="4">
        <f>COUNTIFS('Participant Responses'!$N$2:$N$1000,"1",'Participant Responses'!$B$2:$B$1000,"&gt;=20",'Participant Responses'!$B$2:$B$1000,"&lt;=24")</f>
        <v>0</v>
      </c>
      <c r="I86" s="4">
        <f>COUNTIFS('Participant Responses'!$N$2:$N$1000,"1",'Participant Responses'!$B$2:$B$1000,"&gt;=25",'Participant Responses'!$B$2:$B$1000,"&lt;=44")</f>
        <v>0</v>
      </c>
      <c r="J86" s="4">
        <f>COUNTIFS('Participant Responses'!$N$2:$N$1000,"1",'Participant Responses'!$B$2:$B$1000,"&gt;=45",'Participant Responses'!$B$2:$B$1000,"&lt;=54")</f>
        <v>0</v>
      </c>
      <c r="K86" s="4">
        <f>COUNTIFS('Participant Responses'!$N$2:$N$1000,"1",'Participant Responses'!$B$2:$B$1000,"&gt;=55",'Participant Responses'!$B$2:$B$1000,"&lt;=64")</f>
        <v>0</v>
      </c>
      <c r="L86" s="4">
        <f>COUNTIFS('Participant Responses'!$N$2:$N$1000,"1",'Participant Responses'!$B$2:$B$1000,"&gt;=65",'Participant Responses'!$B$2:$B$1000,"&lt;=74")</f>
        <v>0</v>
      </c>
      <c r="M86" s="4">
        <f>COUNTIFS('Participant Responses'!$N$2:$N$1000,"1",'Participant Responses'!$B$2:$B$1000,"&gt;=75",'Participant Responses'!$B$2:$B$1000,"&lt;=84")</f>
        <v>0</v>
      </c>
      <c r="N86" s="4">
        <f>COUNTIFS('Participant Responses'!$N$2:$N$1000,"1",'Participant Responses'!$B$2:$B$1000,"&gt;=85")</f>
        <v>0</v>
      </c>
    </row>
    <row r="87" spans="1:14">
      <c r="A87" s="3" t="s">
        <v>48</v>
      </c>
      <c r="B87" s="13">
        <f>COUNTIF('Participant Responses'!$N$2:$N$1000,"2")</f>
        <v>0</v>
      </c>
      <c r="C87" s="7">
        <f>COUNTIFS('Participant Responses'!$N$2:$N$1000,"2",'Participant Responses'!$C$2:$C$1000,"m")</f>
        <v>0</v>
      </c>
      <c r="D87" s="4">
        <f>COUNTIFS('Participant Responses'!$N$2:$N$1000,"2",'Participant Responses'!$C$2:$C$1000,"f")</f>
        <v>0</v>
      </c>
      <c r="E87" s="4">
        <f>COUNTIFS('Participant Responses'!$N$2:$N$1000,"2",'Participant Responses'!$B$2:$B$1000,"&lt;=4")</f>
        <v>0</v>
      </c>
      <c r="F87" s="4">
        <f>COUNTIFS('Participant Responses'!$N$2:$N$1000,"2",'Participant Responses'!$B$2:$B$1000,"&gt;=5",'Participant Responses'!$B$2:$B$1000,"&lt;=14")</f>
        <v>0</v>
      </c>
      <c r="G87" s="4">
        <f>COUNTIFS('Participant Responses'!$N$2:$N$1000,"2",'Participant Responses'!$B$2:$B$1000,"&gt;=15",'Participant Responses'!$B$2:$B$1000,"&lt;=19")</f>
        <v>0</v>
      </c>
      <c r="H87" s="4">
        <f>COUNTIFS('Participant Responses'!$N$2:$N$1000,"2",'Participant Responses'!$B$2:$B$1000,"&gt;=20",'Participant Responses'!$B$2:$B$1000,"&lt;=24")</f>
        <v>0</v>
      </c>
      <c r="I87" s="4">
        <f>COUNTIFS('Participant Responses'!$N$2:$N$1000,"2",'Participant Responses'!$B$2:$B$1000,"&gt;=25",'Participant Responses'!$B$2:$B$1000,"&lt;=44")</f>
        <v>0</v>
      </c>
      <c r="J87" s="4">
        <f>COUNTIFS('Participant Responses'!$N$2:$N$1000,"2",'Participant Responses'!$B$2:$B$1000,"&gt;=45",'Participant Responses'!$B$2:$B$1000,"&lt;=54")</f>
        <v>0</v>
      </c>
      <c r="K87" s="4">
        <f>COUNTIFS('Participant Responses'!$N$2:$N$1000,"2",'Participant Responses'!$B$2:$B$1000,"&gt;=55",'Participant Responses'!$B$2:$B$1000,"&lt;=64")</f>
        <v>0</v>
      </c>
      <c r="L87" s="4">
        <f>COUNTIFS('Participant Responses'!$N$2:$N$1000,"2",'Participant Responses'!$B$2:$B$1000,"&gt;=65",'Participant Responses'!$B$2:$B$1000,"&lt;=74")</f>
        <v>0</v>
      </c>
      <c r="M87" s="4">
        <f>COUNTIFS('Participant Responses'!$N$2:$N$1000,"2",'Participant Responses'!$B$2:$B$1000,"&gt;=75",'Participant Responses'!$B$2:$B$1000,"&lt;=84")</f>
        <v>0</v>
      </c>
      <c r="N87" s="4">
        <f>COUNTIFS('Participant Responses'!$N$2:$N$1000,"2",'Participant Responses'!$B$2:$B$1000,"&gt;85")</f>
        <v>0</v>
      </c>
    </row>
    <row r="88" spans="1:14">
      <c r="A88" s="3" t="s">
        <v>49</v>
      </c>
      <c r="B88" s="13">
        <f>COUNTIF('Participant Responses'!$N$2:$N$1000,"3")</f>
        <v>0</v>
      </c>
      <c r="C88" s="7">
        <f>COUNTIFS('Participant Responses'!$N$2:$N$1000,"3",'Participant Responses'!$C$2:$C$1000,"m")</f>
        <v>0</v>
      </c>
      <c r="D88" s="4">
        <f>COUNTIFS('Participant Responses'!$N$2:$N$1000,"3",'Participant Responses'!$C$2:$C$1000,"f")</f>
        <v>0</v>
      </c>
      <c r="E88" s="4">
        <f>COUNTIFS('Participant Responses'!$N$2:$N$1000,"3",'Participant Responses'!$B$2:$B$1000,"&lt;=4")</f>
        <v>0</v>
      </c>
      <c r="F88" s="4">
        <f>COUNTIFS('Participant Responses'!$N$2:$N$1000,"3",'Participant Responses'!$B$2:$B$1000,"&gt;=5",'Participant Responses'!$B$2:$B$1000,"&lt;=14")</f>
        <v>0</v>
      </c>
      <c r="G88" s="4">
        <f>COUNTIFS('Participant Responses'!$N$2:$N$1000,"3",'Participant Responses'!$B$2:$B$1000,"&gt;=15",'Participant Responses'!$B$2:$B$1000,"&lt;=19")</f>
        <v>0</v>
      </c>
      <c r="H88" s="4">
        <f>COUNTIFS('Participant Responses'!$N$2:$N$1000,"3",'Participant Responses'!$B$2:$B$1000,"&gt;=20",'Participant Responses'!$B$2:$B$1000,"&lt;=24")</f>
        <v>0</v>
      </c>
      <c r="I88" s="4">
        <f>COUNTIFS('Participant Responses'!$N$2:$N$1000,"3",'Participant Responses'!$B$2:$B$1000,"&gt;=25",'Participant Responses'!$B$2:$B$1000,"&lt;=44")</f>
        <v>0</v>
      </c>
      <c r="J88" s="4">
        <f>COUNTIFS('Participant Responses'!$N$2:$N$1000,"3",'Participant Responses'!$B$2:$B$1000,"&gt;=45",'Participant Responses'!$B$2:$B$1000,"&lt;=54")</f>
        <v>0</v>
      </c>
      <c r="K88" s="4">
        <f>COUNTIFS('Participant Responses'!$N$2:$N$1000,"3",'Participant Responses'!$B$2:$B$1000,"&gt;=55",'Participant Responses'!$B$2:$B$1000,"&lt;=64")</f>
        <v>0</v>
      </c>
      <c r="L88" s="4">
        <f>COUNTIFS('Participant Responses'!$N$2:$N$1000,"3",'Participant Responses'!$B$2:$B$1000,"&gt;=65",'Participant Responses'!$B$2:$B$1000,"&lt;=74")</f>
        <v>0</v>
      </c>
      <c r="M88" s="4">
        <f>COUNTIFS('Participant Responses'!$N$2:$N$1000,"3",'Participant Responses'!$B$2:$B$1000,"&gt;=75",'Participant Responses'!$B$2:$B$1000,"&lt;=84")</f>
        <v>0</v>
      </c>
      <c r="N88" s="4">
        <f>COUNTIFS('Participant Responses'!$N$2:$N$1000,"3",'Participant Responses'!$B$2:$B$1000,"&gt;85")</f>
        <v>0</v>
      </c>
    </row>
    <row r="89" spans="1:14">
      <c r="A89" s="3" t="s">
        <v>50</v>
      </c>
      <c r="B89" s="13">
        <f>COUNTIF('Participant Responses'!$N$2:$N$1000,"4")</f>
        <v>0</v>
      </c>
      <c r="C89" s="7">
        <f>COUNTIFS('Participant Responses'!$N$2:$N$1000,"4",'Participant Responses'!$C$2:$C$1000,"m")</f>
        <v>0</v>
      </c>
      <c r="D89" s="4">
        <f>COUNTIFS('Participant Responses'!$N$2:$N$1000,"4",'Participant Responses'!$C$2:$C$1000,"f")</f>
        <v>0</v>
      </c>
      <c r="E89" s="4">
        <f>COUNTIFS('Participant Responses'!$N$2:$N$1000,"4",'Participant Responses'!$B$2:$B$1000,"&lt;=4")</f>
        <v>0</v>
      </c>
      <c r="F89" s="4">
        <f>COUNTIFS('Participant Responses'!$N$2:$N$1000,"4",'Participant Responses'!$B$2:$B$1000,"&gt;=5",'Participant Responses'!$B$2:$B$1000,"&lt;=14")</f>
        <v>0</v>
      </c>
      <c r="G89" s="4">
        <f>COUNTIFS('Participant Responses'!$N$2:$N$1000,"4",'Participant Responses'!$B$2:$B$1000,"&gt;=15",'Participant Responses'!$B$2:$B$1000,"&lt;=19")</f>
        <v>0</v>
      </c>
      <c r="H89" s="4">
        <f>COUNTIFS('Participant Responses'!$N$2:$N$1000,"4",'Participant Responses'!$B$2:$B$1000,"&gt;=20",'Participant Responses'!$B$2:$B$1000,"&lt;=24")</f>
        <v>0</v>
      </c>
      <c r="I89" s="4">
        <f>COUNTIFS('Participant Responses'!$N$2:$N$1000,"4",'Participant Responses'!$B$2:$B$1000,"&gt;=25",'Participant Responses'!$B$2:$B$1000,"&lt;=44")</f>
        <v>0</v>
      </c>
      <c r="J89" s="4">
        <f>COUNTIFS('Participant Responses'!$N$2:$N$1000,"4",'Participant Responses'!$B$2:$B$1000,"&gt;=45",'Participant Responses'!$B$2:$B$1000,"&lt;=54")</f>
        <v>0</v>
      </c>
      <c r="K89" s="4">
        <f>COUNTIFS('Participant Responses'!$N$2:$N$1000,"4",'Participant Responses'!$B$2:$B$1000,"&gt;=55",'Participant Responses'!$B$2:$B$1000,"&lt;=64")</f>
        <v>0</v>
      </c>
      <c r="L89" s="4">
        <f>COUNTIFS('Participant Responses'!$N$2:$N$1000,"4",'Participant Responses'!$B$2:$B$1000,"&gt;=65",'Participant Responses'!$B$2:$B$1000,"&lt;=74")</f>
        <v>0</v>
      </c>
      <c r="M89" s="4">
        <f>COUNTIFS('Participant Responses'!$N$2:$N$1000,"4",'Participant Responses'!$B$2:$B$1000,"&gt;=75",'Participant Responses'!$B$2:$B$1000,"&lt;=84")</f>
        <v>0</v>
      </c>
      <c r="N89" s="4">
        <f>COUNTIFS('Participant Responses'!$N$2:$N$1000,"4",'Participant Responses'!$B$2:$B$1000,"&gt;85")</f>
        <v>0</v>
      </c>
    </row>
    <row r="90" spans="1:14">
      <c r="A90" s="3" t="s">
        <v>51</v>
      </c>
      <c r="B90" s="13">
        <f>COUNTIF('Participant Responses'!$N$2:$N$1000,"5")</f>
        <v>0</v>
      </c>
      <c r="C90" s="7">
        <f>COUNTIFS('Participant Responses'!$N$2:$N$1000,"5",'Participant Responses'!$C$2:$C$1000,"m")</f>
        <v>0</v>
      </c>
      <c r="D90" s="4">
        <f>COUNTIFS('Participant Responses'!$N$2:$N$1000,"5",'Participant Responses'!$C$2:$C$1000,"f")</f>
        <v>0</v>
      </c>
      <c r="E90" s="4">
        <f>COUNTIFS('Participant Responses'!$N$2:$N$1000,"5",'Participant Responses'!$B$2:$B$1000,"&lt;=4")</f>
        <v>0</v>
      </c>
      <c r="F90" s="4">
        <f>COUNTIFS('Participant Responses'!$N$2:$N$1000,"5",'Participant Responses'!$B$2:$B$1000,"&gt;=5",'Participant Responses'!$B$2:$B$1000,"&lt;=14")</f>
        <v>0</v>
      </c>
      <c r="G90" s="4">
        <f>COUNTIFS('Participant Responses'!$N$2:$N$1000,"5",'Participant Responses'!$B$2:$B$1000,"&gt;=15",'Participant Responses'!$B$2:$B$1000,"&lt;=19")</f>
        <v>0</v>
      </c>
      <c r="H90" s="4">
        <f>COUNTIFS('Participant Responses'!$N$2:$N$1000,"5",'Participant Responses'!$B$2:$B$1000,"&gt;=20",'Participant Responses'!$B$2:$B$1000,"&lt;=24")</f>
        <v>0</v>
      </c>
      <c r="I90" s="4">
        <f>COUNTIFS('Participant Responses'!$N$2:$N$1000,"5",'Participant Responses'!$B$2:$B$1000,"&gt;=25",'Participant Responses'!$B$2:$B$1000,"&lt;=44")</f>
        <v>0</v>
      </c>
      <c r="J90" s="4">
        <f>COUNTIFS('Participant Responses'!$N$2:$N$1000,"5",'Participant Responses'!$B$2:$B$1000,"&gt;=45",'Participant Responses'!$B$2:$B$1000,"&lt;=54")</f>
        <v>0</v>
      </c>
      <c r="K90" s="4">
        <f>COUNTIFS('Participant Responses'!$N$2:$N$1000,"5",'Participant Responses'!$B$2:$B$1000,"&gt;=55",'Participant Responses'!$B$2:$B$1000,"&lt;=64")</f>
        <v>0</v>
      </c>
      <c r="L90" s="4">
        <f>COUNTIFS('Participant Responses'!$N$2:$N$1000,"5",'Participant Responses'!$B$2:$B$1000,"&gt;=65",'Participant Responses'!$B$2:$B$1000,"&lt;=74")</f>
        <v>0</v>
      </c>
      <c r="M90" s="4">
        <f>COUNTIFS('Participant Responses'!$N$2:$N$1000,"5",'Participant Responses'!$B$2:$B$1000,"&gt;=75",'Participant Responses'!$B$2:$B$1000,"&lt;=84")</f>
        <v>0</v>
      </c>
      <c r="N90" s="4">
        <f>COUNTIFS('Participant Responses'!$N$2:$N$1000,"5",'Participant Responses'!$B$2:$B$1000,"&gt;85")</f>
        <v>0</v>
      </c>
    </row>
    <row r="92" spans="1:14" ht="75">
      <c r="A92" s="8" t="s">
        <v>61</v>
      </c>
      <c r="B92" s="11" t="s">
        <v>15</v>
      </c>
      <c r="C92" s="23" t="s">
        <v>2</v>
      </c>
      <c r="D92" s="24"/>
      <c r="E92" s="24" t="s">
        <v>5</v>
      </c>
      <c r="F92" s="24"/>
      <c r="G92" s="24"/>
      <c r="H92" s="24"/>
      <c r="I92" s="24"/>
      <c r="J92" s="24"/>
      <c r="K92" s="24"/>
      <c r="L92" s="24"/>
      <c r="M92" s="24"/>
      <c r="N92" s="24"/>
    </row>
    <row r="93" spans="1:14">
      <c r="A93" s="3"/>
      <c r="B93" s="13"/>
      <c r="C93" s="7" t="s">
        <v>13</v>
      </c>
      <c r="D93" s="4" t="s">
        <v>14</v>
      </c>
      <c r="E93" s="3" t="s">
        <v>6</v>
      </c>
      <c r="F93" s="3" t="s">
        <v>17</v>
      </c>
      <c r="G93" s="3" t="s">
        <v>7</v>
      </c>
      <c r="H93" s="3" t="s">
        <v>8</v>
      </c>
      <c r="I93" s="3" t="s">
        <v>9</v>
      </c>
      <c r="J93" s="3" t="s">
        <v>10</v>
      </c>
      <c r="K93" s="3" t="s">
        <v>11</v>
      </c>
      <c r="L93" s="3" t="s">
        <v>18</v>
      </c>
      <c r="M93" s="3" t="s">
        <v>12</v>
      </c>
      <c r="N93" s="3" t="s">
        <v>16</v>
      </c>
    </row>
    <row r="94" spans="1:14">
      <c r="A94" s="9" t="s">
        <v>47</v>
      </c>
      <c r="B94" s="12">
        <f>COUNTIF('Participant Responses'!$O$2:$O$1000,"1")</f>
        <v>0</v>
      </c>
      <c r="C94" s="10">
        <f>COUNTIFS('Participant Responses'!$O$2:$O$1000,"1",'Participant Responses'!$C$2:$C$1000,"m")</f>
        <v>0</v>
      </c>
      <c r="D94" s="4">
        <f>COUNTIFS('Participant Responses'!$O$2:$O$1000,"1",'Participant Responses'!$C$2:$C$1000,"f")</f>
        <v>0</v>
      </c>
      <c r="E94" s="5">
        <f>COUNTIFS('Participant Responses'!$O$2:$O$1000,"1",'Participant Responses'!$B$2:$B$1000,"&lt;=4")</f>
        <v>0</v>
      </c>
      <c r="F94" s="4">
        <f>COUNTIFS('Participant Responses'!$O$2:$O$1000,"1",'Participant Responses'!$B$2:$B$1000,"&gt;=5",'Participant Responses'!$B$2:$B$1000,"&lt;=14")</f>
        <v>0</v>
      </c>
      <c r="G94" s="4">
        <f>COUNTIFS('Participant Responses'!$O$2:$O$1000,"1",'Participant Responses'!$B$2:$B$1000,"&gt;=15",'Participant Responses'!$B$2:$B$1000,"&lt;=19")</f>
        <v>0</v>
      </c>
      <c r="H94" s="4">
        <f>COUNTIFS('Participant Responses'!$O$2:$O$1000,"1",'Participant Responses'!$B$2:$B$1000,"&gt;=20",'Participant Responses'!$B$2:$B$1000,"&lt;=24")</f>
        <v>0</v>
      </c>
      <c r="I94" s="4">
        <f>COUNTIFS('Participant Responses'!$O$2:$O$1000,"1",'Participant Responses'!$B$2:$B$1000,"&gt;=25",'Participant Responses'!$B$2:$B$1000,"&lt;=44")</f>
        <v>0</v>
      </c>
      <c r="J94" s="4">
        <f>COUNTIFS('Participant Responses'!$O$2:$O$1000,"1",'Participant Responses'!$B$2:$B$1000,"&gt;=45",'Participant Responses'!$B$2:$B$1000,"&lt;=54")</f>
        <v>0</v>
      </c>
      <c r="K94" s="4">
        <f>COUNTIFS('Participant Responses'!$O$2:$O$1000,"1",'Participant Responses'!$B$2:$B$1000,"&gt;=55",'Participant Responses'!$B$2:$B$1000,"&lt;=64")</f>
        <v>0</v>
      </c>
      <c r="L94" s="4">
        <f>COUNTIFS('Participant Responses'!$O$2:$O$1000,"1",'Participant Responses'!$B$2:$B$1000,"&gt;=65",'Participant Responses'!$B$2:$B$1000,"&lt;=74")</f>
        <v>0</v>
      </c>
      <c r="M94" s="4">
        <f>COUNTIFS('Participant Responses'!$O$2:$O$1000,"1",'Participant Responses'!$B$2:$B$1000,"&gt;=75",'Participant Responses'!$B$2:$B$1000,"&lt;=84")</f>
        <v>0</v>
      </c>
      <c r="N94" s="4">
        <f>COUNTIFS('Participant Responses'!$O$2:$O$1000,"1",'Participant Responses'!$B$2:$B$1000,"&gt;=85")</f>
        <v>0</v>
      </c>
    </row>
    <row r="95" spans="1:14">
      <c r="A95" s="3" t="s">
        <v>48</v>
      </c>
      <c r="B95" s="13">
        <f>COUNTIF('Participant Responses'!$O$2:$O$1000,"2")</f>
        <v>0</v>
      </c>
      <c r="C95" s="7">
        <f>COUNTIFS('Participant Responses'!$O$2:$O$1000,"2",'Participant Responses'!$C$2:$C$1000,"m")</f>
        <v>0</v>
      </c>
      <c r="D95" s="4">
        <f>COUNTIFS('Participant Responses'!$O$2:$O$1000,"2",'Participant Responses'!$C$2:$C$1000,"f")</f>
        <v>0</v>
      </c>
      <c r="E95" s="4">
        <f>COUNTIFS('Participant Responses'!$O$2:$O$1000,"2",'Participant Responses'!$B$2:$B$1000,"&lt;=4")</f>
        <v>0</v>
      </c>
      <c r="F95" s="4">
        <f>COUNTIFS('Participant Responses'!$O$2:$O$1000,"2",'Participant Responses'!$B$2:$B$1000,"&gt;=5",'Participant Responses'!$B$2:$B$1000,"&lt;=14")</f>
        <v>0</v>
      </c>
      <c r="G95" s="4">
        <f>COUNTIFS('Participant Responses'!$O$2:$O$1000,"2",'Participant Responses'!$B$2:$B$1000,"&gt;=15",'Participant Responses'!$B$2:$B$1000,"&lt;=19")</f>
        <v>0</v>
      </c>
      <c r="H95" s="4">
        <f>COUNTIFS('Participant Responses'!$O$2:$O$1000,"2",'Participant Responses'!$B$2:$B$1000,"&gt;=20",'Participant Responses'!$B$2:$B$1000,"&lt;=24")</f>
        <v>0</v>
      </c>
      <c r="I95" s="4">
        <f>COUNTIFS('Participant Responses'!$O$2:$O$1000,"2",'Participant Responses'!$B$2:$B$1000,"&gt;=25",'Participant Responses'!$B$2:$B$1000,"&lt;=44")</f>
        <v>0</v>
      </c>
      <c r="J95" s="4">
        <f>COUNTIFS('Participant Responses'!$O$2:$O$1000,"2",'Participant Responses'!$B$2:$B$1000,"&gt;=45",'Participant Responses'!$B$2:$B$1000,"&lt;=54")</f>
        <v>0</v>
      </c>
      <c r="K95" s="4">
        <f>COUNTIFS('Participant Responses'!$O$2:$O$1000,"2",'Participant Responses'!$B$2:$B$1000,"&gt;=55",'Participant Responses'!$B$2:$B$1000,"&lt;=64")</f>
        <v>0</v>
      </c>
      <c r="L95" s="4">
        <f>COUNTIFS('Participant Responses'!$O$2:$O$1000,"2",'Participant Responses'!$B$2:$B$1000,"&gt;=65",'Participant Responses'!$B$2:$B$1000,"&lt;=74")</f>
        <v>0</v>
      </c>
      <c r="M95" s="4">
        <f>COUNTIFS('Participant Responses'!$O$2:$O$1000,"2",'Participant Responses'!$B$2:$B$1000,"&gt;=75",'Participant Responses'!$B$2:$B$1000,"&lt;=84")</f>
        <v>0</v>
      </c>
      <c r="N95" s="4">
        <f>COUNTIFS('Participant Responses'!$O$2:$O$1000,"2",'Participant Responses'!$B$2:$B$1000,"&gt;85")</f>
        <v>0</v>
      </c>
    </row>
    <row r="96" spans="1:14">
      <c r="A96" s="3" t="s">
        <v>49</v>
      </c>
      <c r="B96" s="13">
        <f>COUNTIF('Participant Responses'!$O$2:$O$1000,"3")</f>
        <v>0</v>
      </c>
      <c r="C96" s="7">
        <f>COUNTIFS('Participant Responses'!$O$2:$O$1000,"3",'Participant Responses'!$C$2:$C$1000,"m")</f>
        <v>0</v>
      </c>
      <c r="D96" s="4">
        <f>COUNTIFS('Participant Responses'!$O$2:$O$1000,"3",'Participant Responses'!$C$2:$C$1000,"f")</f>
        <v>0</v>
      </c>
      <c r="E96" s="4">
        <f>COUNTIFS('Participant Responses'!$O$2:$O$1000,"3",'Participant Responses'!$B$2:$B$1000,"&lt;=4")</f>
        <v>0</v>
      </c>
      <c r="F96" s="4">
        <f>COUNTIFS('Participant Responses'!$O$2:$O$1000,"3",'Participant Responses'!$B$2:$B$1000,"&gt;=5",'Participant Responses'!$B$2:$B$1000,"&lt;=14")</f>
        <v>0</v>
      </c>
      <c r="G96" s="4">
        <f>COUNTIFS('Participant Responses'!$O$2:$O$1000,"3",'Participant Responses'!$B$2:$B$1000,"&gt;=15",'Participant Responses'!$B$2:$B$1000,"&lt;=19")</f>
        <v>0</v>
      </c>
      <c r="H96" s="4">
        <f>COUNTIFS('Participant Responses'!$O$2:$O$1000,"3",'Participant Responses'!$B$2:$B$1000,"&gt;=20",'Participant Responses'!$B$2:$B$1000,"&lt;=24")</f>
        <v>0</v>
      </c>
      <c r="I96" s="4">
        <f>COUNTIFS('Participant Responses'!$O$2:$O$1000,"3",'Participant Responses'!$B$2:$B$1000,"&gt;=25",'Participant Responses'!$B$2:$B$1000,"&lt;=44")</f>
        <v>0</v>
      </c>
      <c r="J96" s="4">
        <f>COUNTIFS('Participant Responses'!$O$2:$O$1000,"3",'Participant Responses'!$B$2:$B$1000,"&gt;=45",'Participant Responses'!$B$2:$B$1000,"&lt;=54")</f>
        <v>0</v>
      </c>
      <c r="K96" s="4">
        <f>COUNTIFS('Participant Responses'!$O$2:$O$1000,"3",'Participant Responses'!$B$2:$B$1000,"&gt;=55",'Participant Responses'!$B$2:$B$1000,"&lt;=64")</f>
        <v>0</v>
      </c>
      <c r="L96" s="4">
        <f>COUNTIFS('Participant Responses'!$O$2:$O$1000,"3",'Participant Responses'!$B$2:$B$1000,"&gt;=65",'Participant Responses'!$B$2:$B$1000,"&lt;=74")</f>
        <v>0</v>
      </c>
      <c r="M96" s="4">
        <f>COUNTIFS('Participant Responses'!$O$2:$O$1000,"3",'Participant Responses'!$B$2:$B$1000,"&gt;=75",'Participant Responses'!$B$2:$B$1000,"&lt;=84")</f>
        <v>0</v>
      </c>
      <c r="N96" s="4">
        <f>COUNTIFS('Participant Responses'!$O$2:$O$1000,"3",'Participant Responses'!$B$2:$B$1000,"&gt;85")</f>
        <v>0</v>
      </c>
    </row>
    <row r="97" spans="1:14">
      <c r="A97" s="3" t="s">
        <v>50</v>
      </c>
      <c r="B97" s="13">
        <f>COUNTIF('Participant Responses'!$O$2:$O$1000,"4")</f>
        <v>0</v>
      </c>
      <c r="C97" s="7">
        <f>COUNTIFS('Participant Responses'!$O$2:$O$1000,"4",'Participant Responses'!$C$2:$C$1000,"m")</f>
        <v>0</v>
      </c>
      <c r="D97" s="4">
        <f>COUNTIFS('Participant Responses'!$O$2:$O$1000,"4",'Participant Responses'!$C$2:$C$1000,"f")</f>
        <v>0</v>
      </c>
      <c r="E97" s="4">
        <f>COUNTIFS('Participant Responses'!$O$2:$O$1000,"4",'Participant Responses'!$B$2:$B$1000,"&lt;=4")</f>
        <v>0</v>
      </c>
      <c r="F97" s="4">
        <f>COUNTIFS('Participant Responses'!$O$2:$O$1000,"4",'Participant Responses'!$B$2:$B$1000,"&gt;=5",'Participant Responses'!$B$2:$B$1000,"&lt;=14")</f>
        <v>0</v>
      </c>
      <c r="G97" s="4">
        <f>COUNTIFS('Participant Responses'!$O$2:$O$1000,"4",'Participant Responses'!$B$2:$B$1000,"&gt;=15",'Participant Responses'!$B$2:$B$1000,"&lt;=19")</f>
        <v>0</v>
      </c>
      <c r="H97" s="4">
        <f>COUNTIFS('Participant Responses'!$O$2:$O$1000,"4",'Participant Responses'!$B$2:$B$1000,"&gt;=20",'Participant Responses'!$B$2:$B$1000,"&lt;=24")</f>
        <v>0</v>
      </c>
      <c r="I97" s="4">
        <f>COUNTIFS('Participant Responses'!$O$2:$O$1000,"4",'Participant Responses'!$B$2:$B$1000,"&gt;=25",'Participant Responses'!$B$2:$B$1000,"&lt;=44")</f>
        <v>0</v>
      </c>
      <c r="J97" s="4">
        <f>COUNTIFS('Participant Responses'!$O$2:$O$1000,"4",'Participant Responses'!$B$2:$B$1000,"&gt;=45",'Participant Responses'!$B$2:$B$1000,"&lt;=54")</f>
        <v>0</v>
      </c>
      <c r="K97" s="4">
        <f>COUNTIFS('Participant Responses'!$O$2:$O$1000,"4",'Participant Responses'!$B$2:$B$1000,"&gt;=55",'Participant Responses'!$B$2:$B$1000,"&lt;=64")</f>
        <v>0</v>
      </c>
      <c r="L97" s="4">
        <f>COUNTIFS('Participant Responses'!$O$2:$O$1000,"4",'Participant Responses'!$B$2:$B$1000,"&gt;=65",'Participant Responses'!$B$2:$B$1000,"&lt;=74")</f>
        <v>0</v>
      </c>
      <c r="M97" s="4">
        <f>COUNTIFS('Participant Responses'!$O$2:$O$1000,"4",'Participant Responses'!$B$2:$B$1000,"&gt;=75",'Participant Responses'!$B$2:$B$1000,"&lt;=84")</f>
        <v>0</v>
      </c>
      <c r="N97" s="4">
        <f>COUNTIFS('Participant Responses'!$O$2:$O$1000,"4",'Participant Responses'!$B$2:$B$1000,"&gt;85")</f>
        <v>0</v>
      </c>
    </row>
    <row r="98" spans="1:14">
      <c r="A98" s="3" t="s">
        <v>51</v>
      </c>
      <c r="B98" s="13">
        <f>COUNTIF('Participant Responses'!$O$2:$O$1000,"5")</f>
        <v>0</v>
      </c>
      <c r="C98" s="7">
        <f>COUNTIFS('Participant Responses'!$O$2:$O$1000,"5",'Participant Responses'!$C$2:$C$1000,"m")</f>
        <v>0</v>
      </c>
      <c r="D98" s="4">
        <f>COUNTIFS('Participant Responses'!$O$2:$O$1000,"5",'Participant Responses'!$C$2:$C$1000,"f")</f>
        <v>0</v>
      </c>
      <c r="E98" s="4">
        <f>COUNTIFS('Participant Responses'!$O$2:$O$1000,"5",'Participant Responses'!$B$2:$B$1000,"&lt;=4")</f>
        <v>0</v>
      </c>
      <c r="F98" s="4">
        <f>COUNTIFS('Participant Responses'!$O$2:$O$1000,"5",'Participant Responses'!$B$2:$B$1000,"&gt;=5",'Participant Responses'!$B$2:$B$1000,"&lt;=14")</f>
        <v>0</v>
      </c>
      <c r="G98" s="4">
        <f>COUNTIFS('Participant Responses'!$O$2:$O$1000,"5",'Participant Responses'!$B$2:$B$1000,"&gt;=15",'Participant Responses'!$B$2:$B$1000,"&lt;=19")</f>
        <v>0</v>
      </c>
      <c r="H98" s="4">
        <f>COUNTIFS('Participant Responses'!$O$2:$O$1000,"5",'Participant Responses'!$B$2:$B$1000,"&gt;=20",'Participant Responses'!$B$2:$B$1000,"&lt;=24")</f>
        <v>0</v>
      </c>
      <c r="I98" s="4">
        <f>COUNTIFS('Participant Responses'!$O$2:$O$1000,"5",'Participant Responses'!$B$2:$B$1000,"&gt;=25",'Participant Responses'!$B$2:$B$1000,"&lt;=44")</f>
        <v>0</v>
      </c>
      <c r="J98" s="4">
        <f>COUNTIFS('Participant Responses'!$O$2:$O$1000,"5",'Participant Responses'!$B$2:$B$1000,"&gt;=45",'Participant Responses'!$B$2:$B$1000,"&lt;=54")</f>
        <v>0</v>
      </c>
      <c r="K98" s="4">
        <f>COUNTIFS('Participant Responses'!$O$2:$O$1000,"5",'Participant Responses'!$B$2:$B$1000,"&gt;=55",'Participant Responses'!$B$2:$B$1000,"&lt;=64")</f>
        <v>0</v>
      </c>
      <c r="L98" s="4">
        <f>COUNTIFS('Participant Responses'!$O$2:$O$1000,"5",'Participant Responses'!$B$2:$B$1000,"&gt;=65",'Participant Responses'!$B$2:$B$1000,"&lt;=74")</f>
        <v>0</v>
      </c>
      <c r="M98" s="4">
        <f>COUNTIFS('Participant Responses'!$O$2:$O$1000,"5",'Participant Responses'!$B$2:$B$1000,"&gt;=75",'Participant Responses'!$B$2:$B$1000,"&lt;=84")</f>
        <v>0</v>
      </c>
      <c r="N98" s="4">
        <f>COUNTIFS('Participant Responses'!$O$2:$O$1000,"5",'Participant Responses'!$B$2:$B$1000,"&gt;85")</f>
        <v>0</v>
      </c>
    </row>
    <row r="100" spans="1:14" ht="75">
      <c r="A100" s="8" t="s">
        <v>62</v>
      </c>
      <c r="B100" s="11" t="s">
        <v>15</v>
      </c>
      <c r="C100" s="23" t="s">
        <v>2</v>
      </c>
      <c r="D100" s="24"/>
      <c r="E100" s="24" t="s">
        <v>5</v>
      </c>
      <c r="F100" s="24"/>
      <c r="G100" s="24"/>
      <c r="H100" s="24"/>
      <c r="I100" s="24"/>
      <c r="J100" s="24"/>
      <c r="K100" s="24"/>
      <c r="L100" s="24"/>
      <c r="M100" s="24"/>
      <c r="N100" s="24"/>
    </row>
    <row r="101" spans="1:14">
      <c r="A101" s="3"/>
      <c r="B101" s="13"/>
      <c r="C101" s="7" t="s">
        <v>13</v>
      </c>
      <c r="D101" s="4" t="s">
        <v>14</v>
      </c>
      <c r="E101" s="3" t="s">
        <v>6</v>
      </c>
      <c r="F101" s="3" t="s">
        <v>17</v>
      </c>
      <c r="G101" s="3" t="s">
        <v>7</v>
      </c>
      <c r="H101" s="3" t="s">
        <v>8</v>
      </c>
      <c r="I101" s="3" t="s">
        <v>9</v>
      </c>
      <c r="J101" s="3" t="s">
        <v>10</v>
      </c>
      <c r="K101" s="3" t="s">
        <v>11</v>
      </c>
      <c r="L101" s="3" t="s">
        <v>18</v>
      </c>
      <c r="M101" s="3" t="s">
        <v>12</v>
      </c>
      <c r="N101" s="3" t="s">
        <v>16</v>
      </c>
    </row>
    <row r="102" spans="1:14">
      <c r="A102" s="9" t="s">
        <v>47</v>
      </c>
      <c r="B102" s="12">
        <f>COUNTIF('Participant Responses'!$P$2:$P$1000,"1")</f>
        <v>0</v>
      </c>
      <c r="C102" s="10">
        <f>COUNTIFS('Participant Responses'!$P$2:$P$1000,"1",'Participant Responses'!$C$2:$C$1000,"m")</f>
        <v>0</v>
      </c>
      <c r="D102" s="4">
        <f>COUNTIFS('Participant Responses'!$P$2:$P$1000,"1",'Participant Responses'!$C$2:$C$1000,"f")</f>
        <v>0</v>
      </c>
      <c r="E102" s="5">
        <f>COUNTIFS('Participant Responses'!$P$2:$P$1000,"1",'Participant Responses'!$B$2:$B$1000,"&lt;=4")</f>
        <v>0</v>
      </c>
      <c r="F102" s="4">
        <f>COUNTIFS('Participant Responses'!$P$2:$P$1000,"1",'Participant Responses'!$B$2:$B$1000,"&gt;=5",'Participant Responses'!$B$2:$B$1000,"&lt;=14")</f>
        <v>0</v>
      </c>
      <c r="G102" s="4">
        <f>COUNTIFS('Participant Responses'!$P$2:$P$1000,"1",'Participant Responses'!$B$2:$B$1000,"&gt;=15",'Participant Responses'!$B$2:$B$1000,"&lt;=19")</f>
        <v>0</v>
      </c>
      <c r="H102" s="4">
        <f>COUNTIFS('Participant Responses'!$P$2:$P$1000,"1",'Participant Responses'!$B$2:$B$1000,"&gt;=20",'Participant Responses'!$B$2:$B$1000,"&lt;=24")</f>
        <v>0</v>
      </c>
      <c r="I102" s="4">
        <f>COUNTIFS('Participant Responses'!$P$2:$P$1000,"1",'Participant Responses'!$B$2:$B$1000,"&gt;=25",'Participant Responses'!$B$2:$B$1000,"&lt;=44")</f>
        <v>0</v>
      </c>
      <c r="J102" s="4">
        <f>COUNTIFS('Participant Responses'!$P$2:$P$1000,"1",'Participant Responses'!$B$2:$B$1000,"&gt;=45",'Participant Responses'!$B$2:$B$1000,"&lt;=54")</f>
        <v>0</v>
      </c>
      <c r="K102" s="4">
        <f>COUNTIFS('Participant Responses'!$P$2:$P$1000,"1",'Participant Responses'!$B$2:$B$1000,"&gt;=55",'Participant Responses'!$B$2:$B$1000,"&lt;=64")</f>
        <v>0</v>
      </c>
      <c r="L102" s="4">
        <f>COUNTIFS('Participant Responses'!$P$2:$P$1000,"1",'Participant Responses'!$B$2:$B$1000,"&gt;=65",'Participant Responses'!$B$2:$B$1000,"&lt;=74")</f>
        <v>0</v>
      </c>
      <c r="M102" s="4">
        <f>COUNTIFS('Participant Responses'!$P$2:$P$1000,"1",'Participant Responses'!$B$2:$B$1000,"&gt;=75",'Participant Responses'!$B$2:$B$1000,"&lt;=84")</f>
        <v>0</v>
      </c>
      <c r="N102" s="4">
        <f>COUNTIFS('Participant Responses'!$P$2:$P$1000,"1",'Participant Responses'!$B$2:$B$1000,"&gt;=85")</f>
        <v>0</v>
      </c>
    </row>
    <row r="103" spans="1:14">
      <c r="A103" s="3" t="s">
        <v>48</v>
      </c>
      <c r="B103" s="13">
        <f>COUNTIF('Participant Responses'!$P$2:$P$1000,"2")</f>
        <v>0</v>
      </c>
      <c r="C103" s="7">
        <f>COUNTIFS('Participant Responses'!$P$2:$P$1000,"2",'Participant Responses'!$C$2:$C$1000,"m")</f>
        <v>0</v>
      </c>
      <c r="D103" s="4">
        <f>COUNTIFS('Participant Responses'!$P$2:$P$1000,"2",'Participant Responses'!$C$2:$C$1000,"f")</f>
        <v>0</v>
      </c>
      <c r="E103" s="4">
        <f>COUNTIFS('Participant Responses'!$P$2:$P$1000,"2",'Participant Responses'!$B$2:$B$1000,"&lt;=4")</f>
        <v>0</v>
      </c>
      <c r="F103" s="4">
        <f>COUNTIFS('Participant Responses'!$P$2:$P$1000,"2",'Participant Responses'!$B$2:$B$1000,"&gt;=5",'Participant Responses'!$B$2:$B$1000,"&lt;=14")</f>
        <v>0</v>
      </c>
      <c r="G103" s="4">
        <f>COUNTIFS('Participant Responses'!$P$2:$P$1000,"2",'Participant Responses'!$B$2:$B$1000,"&gt;=15",'Participant Responses'!$B$2:$B$1000,"&lt;=19")</f>
        <v>0</v>
      </c>
      <c r="H103" s="4">
        <f>COUNTIFS('Participant Responses'!$P$2:$P$1000,"2",'Participant Responses'!$B$2:$B$1000,"&gt;=20",'Participant Responses'!$B$2:$B$1000,"&lt;=24")</f>
        <v>0</v>
      </c>
      <c r="I103" s="4">
        <f>COUNTIFS('Participant Responses'!$P$2:$P$1000,"2",'Participant Responses'!$B$2:$B$1000,"&gt;=25",'Participant Responses'!$B$2:$B$1000,"&lt;=44")</f>
        <v>0</v>
      </c>
      <c r="J103" s="4">
        <f>COUNTIFS('Participant Responses'!$P$2:$P$1000,"2",'Participant Responses'!$B$2:$B$1000,"&gt;=45",'Participant Responses'!$B$2:$B$1000,"&lt;=54")</f>
        <v>0</v>
      </c>
      <c r="K103" s="4">
        <f>COUNTIFS('Participant Responses'!$P$2:$P$1000,"2",'Participant Responses'!$B$2:$B$1000,"&gt;=55",'Participant Responses'!$B$2:$B$1000,"&lt;=64")</f>
        <v>0</v>
      </c>
      <c r="L103" s="4">
        <f>COUNTIFS('Participant Responses'!$P$2:$P$1000,"2",'Participant Responses'!$B$2:$B$1000,"&gt;=65",'Participant Responses'!$B$2:$B$1000,"&lt;=74")</f>
        <v>0</v>
      </c>
      <c r="M103" s="4">
        <f>COUNTIFS('Participant Responses'!$P$2:$P$1000,"2",'Participant Responses'!$B$2:$B$1000,"&gt;=75",'Participant Responses'!$B$2:$B$1000,"&lt;=84")</f>
        <v>0</v>
      </c>
      <c r="N103" s="4">
        <f>COUNTIFS('Participant Responses'!$P$2:$P$1000,"2",'Participant Responses'!$B$2:$B$1000,"&gt;85")</f>
        <v>0</v>
      </c>
    </row>
    <row r="104" spans="1:14">
      <c r="A104" s="3" t="s">
        <v>49</v>
      </c>
      <c r="B104" s="13">
        <f>COUNTIF('Participant Responses'!$P$2:$P$1000,"3")</f>
        <v>0</v>
      </c>
      <c r="C104" s="7">
        <f>COUNTIFS('Participant Responses'!$P$2:$P$1000,"3",'Participant Responses'!$C$2:$C$1000,"m")</f>
        <v>0</v>
      </c>
      <c r="D104" s="4">
        <f>COUNTIFS('Participant Responses'!$P$2:$P$1000,"3",'Participant Responses'!$C$2:$C$1000,"f")</f>
        <v>0</v>
      </c>
      <c r="E104" s="4">
        <f>COUNTIFS('Participant Responses'!$P$2:$P$1000,"3",'Participant Responses'!$B$2:$B$1000,"&lt;=4")</f>
        <v>0</v>
      </c>
      <c r="F104" s="4">
        <f>COUNTIFS('Participant Responses'!$P$2:$P$1000,"3",'Participant Responses'!$B$2:$B$1000,"&gt;=5",'Participant Responses'!$B$2:$B$1000,"&lt;=14")</f>
        <v>0</v>
      </c>
      <c r="G104" s="4">
        <f>COUNTIFS('Participant Responses'!$P$2:$P$1000,"3",'Participant Responses'!$B$2:$B$1000,"&gt;=15",'Participant Responses'!$B$2:$B$1000,"&lt;=19")</f>
        <v>0</v>
      </c>
      <c r="H104" s="4">
        <f>COUNTIFS('Participant Responses'!$P$2:$P$1000,"3",'Participant Responses'!$B$2:$B$1000,"&gt;=20",'Participant Responses'!$B$2:$B$1000,"&lt;=24")</f>
        <v>0</v>
      </c>
      <c r="I104" s="4">
        <f>COUNTIFS('Participant Responses'!$P$2:$P$1000,"3",'Participant Responses'!$B$2:$B$1000,"&gt;=25",'Participant Responses'!$B$2:$B$1000,"&lt;=44")</f>
        <v>0</v>
      </c>
      <c r="J104" s="4">
        <f>COUNTIFS('Participant Responses'!$P$2:$P$1000,"3",'Participant Responses'!$B$2:$B$1000,"&gt;=45",'Participant Responses'!$B$2:$B$1000,"&lt;=54")</f>
        <v>0</v>
      </c>
      <c r="K104" s="4">
        <f>COUNTIFS('Participant Responses'!$P$2:$P$1000,"3",'Participant Responses'!$B$2:$B$1000,"&gt;=55",'Participant Responses'!$B$2:$B$1000,"&lt;=64")</f>
        <v>0</v>
      </c>
      <c r="L104" s="4">
        <f>COUNTIFS('Participant Responses'!$P$2:$P$1000,"3",'Participant Responses'!$B$2:$B$1000,"&gt;=65",'Participant Responses'!$B$2:$B$1000,"&lt;=74")</f>
        <v>0</v>
      </c>
      <c r="M104" s="4">
        <f>COUNTIFS('Participant Responses'!$P$2:$P$1000,"3",'Participant Responses'!$B$2:$B$1000,"&gt;=75",'Participant Responses'!$B$2:$B$1000,"&lt;=84")</f>
        <v>0</v>
      </c>
      <c r="N104" s="4">
        <f>COUNTIFS('Participant Responses'!$P$2:$P$1000,"3",'Participant Responses'!$B$2:$B$1000,"&gt;85")</f>
        <v>0</v>
      </c>
    </row>
    <row r="105" spans="1:14">
      <c r="A105" s="3" t="s">
        <v>50</v>
      </c>
      <c r="B105" s="13">
        <f>COUNTIF('Participant Responses'!$P$2:$P$1000,"4")</f>
        <v>0</v>
      </c>
      <c r="C105" s="7">
        <f>COUNTIFS('Participant Responses'!$P$2:$P$1000,"4",'Participant Responses'!$C$2:$C$1000,"m")</f>
        <v>0</v>
      </c>
      <c r="D105" s="4">
        <f>COUNTIFS('Participant Responses'!$P$2:$P$1000,"4",'Participant Responses'!$C$2:$C$1000,"f")</f>
        <v>0</v>
      </c>
      <c r="E105" s="4">
        <f>COUNTIFS('Participant Responses'!$P$2:$P$1000,"4",'Participant Responses'!$B$2:$B$1000,"&lt;=4")</f>
        <v>0</v>
      </c>
      <c r="F105" s="4">
        <f>COUNTIFS('Participant Responses'!$P$2:$P$1000,"4",'Participant Responses'!$B$2:$B$1000,"&gt;=5",'Participant Responses'!$B$2:$B$1000,"&lt;=14")</f>
        <v>0</v>
      </c>
      <c r="G105" s="4">
        <f>COUNTIFS('Participant Responses'!$P$2:$P$1000,"4",'Participant Responses'!$B$2:$B$1000,"&gt;=15",'Participant Responses'!$B$2:$B$1000,"&lt;=19")</f>
        <v>0</v>
      </c>
      <c r="H105" s="4">
        <f>COUNTIFS('Participant Responses'!$P$2:$P$1000,"4",'Participant Responses'!$B$2:$B$1000,"&gt;=20",'Participant Responses'!$B$2:$B$1000,"&lt;=24")</f>
        <v>0</v>
      </c>
      <c r="I105" s="4">
        <f>COUNTIFS('Participant Responses'!$P$2:$P$1000,"4",'Participant Responses'!$B$2:$B$1000,"&gt;=25",'Participant Responses'!$B$2:$B$1000,"&lt;=44")</f>
        <v>0</v>
      </c>
      <c r="J105" s="4">
        <f>COUNTIFS('Participant Responses'!$P$2:$P$1000,"4",'Participant Responses'!$B$2:$B$1000,"&gt;=45",'Participant Responses'!$B$2:$B$1000,"&lt;=54")</f>
        <v>0</v>
      </c>
      <c r="K105" s="4">
        <f>COUNTIFS('Participant Responses'!$P$2:$P$1000,"4",'Participant Responses'!$B$2:$B$1000,"&gt;=55",'Participant Responses'!$B$2:$B$1000,"&lt;=64")</f>
        <v>0</v>
      </c>
      <c r="L105" s="4">
        <f>COUNTIFS('Participant Responses'!$P$2:$P$1000,"4",'Participant Responses'!$B$2:$B$1000,"&gt;=65",'Participant Responses'!$B$2:$B$1000,"&lt;=74")</f>
        <v>0</v>
      </c>
      <c r="M105" s="4">
        <f>COUNTIFS('Participant Responses'!$P$2:$P$1000,"4",'Participant Responses'!$B$2:$B$1000,"&gt;=75",'Participant Responses'!$B$2:$B$1000,"&lt;=84")</f>
        <v>0</v>
      </c>
      <c r="N105" s="4">
        <f>COUNTIFS('Participant Responses'!$P$2:$P$1000,"4",'Participant Responses'!$B$2:$B$1000,"&gt;85")</f>
        <v>0</v>
      </c>
    </row>
    <row r="106" spans="1:14">
      <c r="A106" s="3" t="s">
        <v>51</v>
      </c>
      <c r="B106" s="13">
        <f>COUNTIF('Participant Responses'!$P$2:$P$1000,"5")</f>
        <v>0</v>
      </c>
      <c r="C106" s="7">
        <f>COUNTIFS('Participant Responses'!$P$2:$P$1000,"5",'Participant Responses'!$C$2:$C$1000,"m")</f>
        <v>0</v>
      </c>
      <c r="D106" s="4">
        <f>COUNTIFS('Participant Responses'!$P$2:$P$1000,"5",'Participant Responses'!$C$2:$C$1000,"f")</f>
        <v>0</v>
      </c>
      <c r="E106" s="4">
        <f>COUNTIFS('Participant Responses'!$P$2:$P$1000,"5",'Participant Responses'!$B$2:$B$1000,"&lt;=4")</f>
        <v>0</v>
      </c>
      <c r="F106" s="4">
        <f>COUNTIFS('Participant Responses'!$P$2:$P$1000,"5",'Participant Responses'!$B$2:$B$1000,"&gt;=5",'Participant Responses'!$B$2:$B$1000,"&lt;=14")</f>
        <v>0</v>
      </c>
      <c r="G106" s="4">
        <f>COUNTIFS('Participant Responses'!$P$2:$P$1000,"5",'Participant Responses'!$B$2:$B$1000,"&gt;=15",'Participant Responses'!$B$2:$B$1000,"&lt;=19")</f>
        <v>0</v>
      </c>
      <c r="H106" s="4">
        <f>COUNTIFS('Participant Responses'!$P$2:$P$1000,"5",'Participant Responses'!$B$2:$B$1000,"&gt;=20",'Participant Responses'!$B$2:$B$1000,"&lt;=24")</f>
        <v>0</v>
      </c>
      <c r="I106" s="4">
        <f>COUNTIFS('Participant Responses'!$P$2:$P$1000,"5",'Participant Responses'!$B$2:$B$1000,"&gt;=25",'Participant Responses'!$B$2:$B$1000,"&lt;=44")</f>
        <v>0</v>
      </c>
      <c r="J106" s="4">
        <f>COUNTIFS('Participant Responses'!$P$2:$P$1000,"5",'Participant Responses'!$B$2:$B$1000,"&gt;=45",'Participant Responses'!$B$2:$B$1000,"&lt;=54")</f>
        <v>0</v>
      </c>
      <c r="K106" s="4">
        <f>COUNTIFS('Participant Responses'!$P$2:$P$1000,"5",'Participant Responses'!$B$2:$B$1000,"&gt;=55",'Participant Responses'!$B$2:$B$1000,"&lt;=64")</f>
        <v>0</v>
      </c>
      <c r="L106" s="4">
        <f>COUNTIFS('Participant Responses'!$P$2:$P$1000,"5",'Participant Responses'!$B$2:$B$1000,"&gt;=65",'Participant Responses'!$B$2:$B$1000,"&lt;=74")</f>
        <v>0</v>
      </c>
      <c r="M106" s="4">
        <f>COUNTIFS('Participant Responses'!$P$2:$P$1000,"5",'Participant Responses'!$B$2:$B$1000,"&gt;=75",'Participant Responses'!$B$2:$B$1000,"&lt;=84")</f>
        <v>0</v>
      </c>
      <c r="N106" s="4">
        <f>COUNTIFS('Participant Responses'!$P$2:$P$1000,"5",'Participant Responses'!$B$2:$B$1000,"&gt;85")</f>
        <v>0</v>
      </c>
    </row>
    <row r="108" spans="1:14" ht="60">
      <c r="A108" s="8" t="s">
        <v>63</v>
      </c>
      <c r="B108" s="11" t="s">
        <v>15</v>
      </c>
      <c r="C108" s="23" t="s">
        <v>2</v>
      </c>
      <c r="D108" s="24"/>
      <c r="E108" s="24" t="s">
        <v>5</v>
      </c>
      <c r="F108" s="24"/>
      <c r="G108" s="24"/>
      <c r="H108" s="24"/>
      <c r="I108" s="24"/>
      <c r="J108" s="24"/>
      <c r="K108" s="24"/>
      <c r="L108" s="24"/>
      <c r="M108" s="24"/>
      <c r="N108" s="24"/>
    </row>
    <row r="109" spans="1:14">
      <c r="A109" s="3"/>
      <c r="B109" s="13"/>
      <c r="C109" s="7" t="s">
        <v>13</v>
      </c>
      <c r="D109" s="4" t="s">
        <v>14</v>
      </c>
      <c r="E109" s="3" t="s">
        <v>6</v>
      </c>
      <c r="F109" s="3" t="s">
        <v>17</v>
      </c>
      <c r="G109" s="3" t="s">
        <v>7</v>
      </c>
      <c r="H109" s="3" t="s">
        <v>8</v>
      </c>
      <c r="I109" s="3" t="s">
        <v>9</v>
      </c>
      <c r="J109" s="3" t="s">
        <v>10</v>
      </c>
      <c r="K109" s="3" t="s">
        <v>11</v>
      </c>
      <c r="L109" s="3" t="s">
        <v>18</v>
      </c>
      <c r="M109" s="3" t="s">
        <v>12</v>
      </c>
      <c r="N109" s="3" t="s">
        <v>16</v>
      </c>
    </row>
    <row r="110" spans="1:14">
      <c r="A110" s="9" t="s">
        <v>64</v>
      </c>
      <c r="B110" s="12">
        <f>COUNTIF('Participant Responses'!$Q$2:$Q$1000,"?hild*")</f>
        <v>0</v>
      </c>
      <c r="C110" s="10">
        <f>COUNTIFS('Participant Responses'!$Q$2:$Q$1000,"?hild*",'Participant Responses'!$C$2:$C$1000,"m")</f>
        <v>0</v>
      </c>
      <c r="D110" s="4">
        <f>COUNTIFS('Participant Responses'!$Q$2:$Q$1000,"?hild*",'Participant Responses'!$C$2:$C$1000,"f")</f>
        <v>0</v>
      </c>
      <c r="E110" s="5">
        <f>COUNTIFS('Participant Responses'!$Q$2:$Q$1000,"?hild*",'Participant Responses'!$B$2:$B$1000,"&lt;=4")</f>
        <v>0</v>
      </c>
      <c r="F110" s="4">
        <f>COUNTIFS('Participant Responses'!$Q$2:$Q$1000,"?hild*",'Participant Responses'!$B$2:$B$1000,"&gt;=5",'Participant Responses'!$B$2:$B$1000,"&lt;=14")</f>
        <v>0</v>
      </c>
      <c r="G110" s="4">
        <f>COUNTIFS('Participant Responses'!$Q$2:$Q$1000,"?hild*",'Participant Responses'!$B$2:$B$1000,"&gt;=15",'Participant Responses'!$B$2:$B$1000,"&lt;=19")</f>
        <v>0</v>
      </c>
      <c r="H110" s="4">
        <f>COUNTIFS('Participant Responses'!$Q$2:$Q$1000,"?hild*",'Participant Responses'!$B$2:$B$1000,"&gt;=20",'Participant Responses'!$B$2:$B$1000,"&lt;=24")</f>
        <v>0</v>
      </c>
      <c r="I110" s="4">
        <f>COUNTIFS('Participant Responses'!$Q$2:$Q$1000,"?hild*",'Participant Responses'!$B$2:$B$1000,"&gt;=25",'Participant Responses'!$B$2:$B$1000,"&lt;=44")</f>
        <v>0</v>
      </c>
      <c r="J110" s="4">
        <f>COUNTIFS('Participant Responses'!$Q$2:$Q$1000,"?hild*",'Participant Responses'!$B$2:$B$1000,"&gt;=45",'Participant Responses'!$B$2:$B$1000,"&lt;=54")</f>
        <v>0</v>
      </c>
      <c r="K110" s="4">
        <f>COUNTIFS('Participant Responses'!$Q$2:$Q$1000,"?hild*",'Participant Responses'!$B$2:$B$1000,"&gt;=55",'Participant Responses'!$B$2:$B$1000,"&lt;=64")</f>
        <v>0</v>
      </c>
      <c r="L110" s="4">
        <f>COUNTIFS('Participant Responses'!$Q$2:$Q$1000,"?hild*",'Participant Responses'!$B$2:$B$1000,"&gt;=65",'Participant Responses'!$B$2:$B$1000,"&lt;=74")</f>
        <v>0</v>
      </c>
      <c r="M110" s="4">
        <f>COUNTIFS('Participant Responses'!$Q$2:$Q$1000,"?hild*",'Participant Responses'!$B$2:$B$1000,"&gt;=75",'Participant Responses'!$B$2:$B$1000,"&lt;=84")</f>
        <v>0</v>
      </c>
      <c r="N110" s="4">
        <f>COUNTIFS('Participant Responses'!$Q$2:$Q$1000,"?hild*",'Participant Responses'!$B$2:$B$1000,"&gt;=85")</f>
        <v>0</v>
      </c>
    </row>
    <row r="111" spans="1:14">
      <c r="A111" s="3" t="s">
        <v>65</v>
      </c>
      <c r="B111" s="13">
        <f>COUNTIF('Participant Responses'!$Q$2:$Q$1000,"?een*")</f>
        <v>0</v>
      </c>
      <c r="C111" s="7">
        <f>COUNTIFS('Participant Responses'!$Q$2:$Q$1000,"?een*",'Participant Responses'!$C$2:$C$1000,"m")</f>
        <v>0</v>
      </c>
      <c r="D111" s="4">
        <f>COUNTIFS('Participant Responses'!$Q$2:$Q$1000,"?een*",'Participant Responses'!$C$2:$C$1000,"f")</f>
        <v>0</v>
      </c>
      <c r="E111" s="4">
        <f>COUNTIFS('Participant Responses'!$Q$2:$Q$1000,"?een*",'Participant Responses'!$B$2:$B$1000,"&lt;=4")</f>
        <v>0</v>
      </c>
      <c r="F111" s="4">
        <f>COUNTIFS('Participant Responses'!$Q$2:$Q$1000,"?een*",'Participant Responses'!$B$2:$B$1000,"&gt;=5",'Participant Responses'!$B$2:$B$1000,"&lt;=14")</f>
        <v>0</v>
      </c>
      <c r="G111" s="4">
        <f>COUNTIFS('Participant Responses'!$Q$2:$Q$1000,"?een*",'Participant Responses'!$B$2:$B$1000,"&gt;=15",'Participant Responses'!$B$2:$B$1000,"&lt;=19")</f>
        <v>0</v>
      </c>
      <c r="H111" s="4">
        <f>COUNTIFS('Participant Responses'!$Q$2:$Q$1000,"?een*",'Participant Responses'!$B$2:$B$1000,"&gt;=20",'Participant Responses'!$B$2:$B$1000,"&lt;=24")</f>
        <v>0</v>
      </c>
      <c r="I111" s="4">
        <f>COUNTIFS('Participant Responses'!$Q$2:$Q$1000,"?een*",'Participant Responses'!$B$2:$B$1000,"&gt;=25",'Participant Responses'!$B$2:$B$1000,"&lt;=44")</f>
        <v>0</v>
      </c>
      <c r="J111" s="4">
        <f>COUNTIFS('Participant Responses'!$Q$2:$Q$1000,"?een*",'Participant Responses'!$B$2:$B$1000,"&gt;=45",'Participant Responses'!$B$2:$B$1000,"&lt;=54")</f>
        <v>0</v>
      </c>
      <c r="K111" s="4">
        <f>COUNTIFS('Participant Responses'!$Q$2:$Q$1000,"?een*",'Participant Responses'!$B$2:$B$1000,"&gt;=55",'Participant Responses'!$B$2:$B$1000,"&lt;=64")</f>
        <v>0</v>
      </c>
      <c r="L111" s="4">
        <f>COUNTIFS('Participant Responses'!$Q$2:$Q$1000,"?een*",'Participant Responses'!$B$2:$B$1000,"&gt;=65",'Participant Responses'!$B$2:$B$1000,"&lt;=74")</f>
        <v>0</v>
      </c>
      <c r="M111" s="4">
        <f>COUNTIFS('Participant Responses'!$Q$2:$Q$1000,"?een*",'Participant Responses'!$B$2:$B$1000,"&gt;=75",'Participant Responses'!$B$2:$B$1000,"&lt;=84")</f>
        <v>0</v>
      </c>
      <c r="N111" s="4">
        <f>COUNTIFS('Participant Responses'!$Q$2:$Q$1000,"?een*",'Participant Responses'!$B$2:$B$1000,"&gt;85")</f>
        <v>0</v>
      </c>
    </row>
    <row r="112" spans="1:14">
      <c r="A112" s="3" t="s">
        <v>19</v>
      </c>
      <c r="B112" s="13">
        <f>COUNTIF('Participant Responses'!$Q$2:$Q$1000,"?lder*")</f>
        <v>0</v>
      </c>
      <c r="C112" s="7">
        <f>COUNTIFS('Participant Responses'!$Q$2:$Q$1000,"?lder*",'Participant Responses'!$C$2:$C$1000,"m")</f>
        <v>0</v>
      </c>
      <c r="D112" s="4">
        <f>COUNTIFS('Participant Responses'!$Q$2:$Q$1000,"?lder*",'Participant Responses'!$C$2:$C$1000,"f")</f>
        <v>0</v>
      </c>
      <c r="E112" s="4">
        <f>COUNTIFS('Participant Responses'!$Q$2:$Q$1000,"?lder*",'Participant Responses'!$B$2:$B$1000,"&lt;=4")</f>
        <v>0</v>
      </c>
      <c r="F112" s="4">
        <f>COUNTIFS('Participant Responses'!$Q$2:$Q$1000,"?lder*",'Participant Responses'!$B$2:$B$1000,"&gt;=5",'Participant Responses'!$B$2:$B$1000,"&lt;=14")</f>
        <v>0</v>
      </c>
      <c r="G112" s="4">
        <f>COUNTIFS('Participant Responses'!$Q$2:$Q$1000,"?lder*",'Participant Responses'!$B$2:$B$1000,"&gt;=15",'Participant Responses'!$B$2:$B$1000,"&lt;=19")</f>
        <v>0</v>
      </c>
      <c r="H112" s="4">
        <f>COUNTIFS('Participant Responses'!$Q$2:$Q$1000,"?lder*",'Participant Responses'!$B$2:$B$1000,"&gt;=20",'Participant Responses'!$B$2:$B$1000,"&lt;=24")</f>
        <v>0</v>
      </c>
      <c r="I112" s="4">
        <f>COUNTIFS('Participant Responses'!$Q$2:$Q$1000,"?lder*",'Participant Responses'!$B$2:$B$1000,"&gt;=25",'Participant Responses'!$B$2:$B$1000,"&lt;=44")</f>
        <v>0</v>
      </c>
      <c r="J112" s="4">
        <f>COUNTIFS('Participant Responses'!$Q$2:$Q$1000,"?lder*",'Participant Responses'!$B$2:$B$1000,"&gt;=45",'Participant Responses'!$B$2:$B$1000,"&lt;=54")</f>
        <v>0</v>
      </c>
      <c r="K112" s="4">
        <f>COUNTIFS('Participant Responses'!$Q$2:$Q$1000,"?lder*",'Participant Responses'!$B$2:$B$1000,"&gt;=55",'Participant Responses'!$B$2:$B$1000,"&lt;=64")</f>
        <v>0</v>
      </c>
      <c r="L112" s="4">
        <f>COUNTIFS('Participant Responses'!$Q$2:$Q$1000,"?lder*",'Participant Responses'!$B$2:$B$1000,"&gt;=65",'Participant Responses'!$B$2:$B$1000,"&lt;=74")</f>
        <v>0</v>
      </c>
      <c r="M112" s="4">
        <f>COUNTIFS('Participant Responses'!$Q$2:$Q$1000,"?lder*",'Participant Responses'!$B$2:$B$1000,"&gt;=75",'Participant Responses'!$B$2:$B$1000,"&lt;=84")</f>
        <v>0</v>
      </c>
      <c r="N112" s="4">
        <f>COUNTIFS('Participant Responses'!$Q$2:$Q$1000,"?lder*",'Participant Responses'!$B$2:$B$1000,"&gt;85")</f>
        <v>0</v>
      </c>
    </row>
    <row r="113" spans="1:14">
      <c r="A113" s="3" t="s">
        <v>66</v>
      </c>
      <c r="B113" s="13">
        <f>COUNTIF('Participant Responses'!$Q$2:$Q$1000,"?tudent*")</f>
        <v>0</v>
      </c>
      <c r="C113" s="7">
        <f>COUNTIFS('Participant Responses'!$Q$2:$Q$1000,"?tudent*",'Participant Responses'!$C$2:$C$1000,"m")</f>
        <v>0</v>
      </c>
      <c r="D113" s="4">
        <f>COUNTIFS('Participant Responses'!$Q$2:$Q$1000,"?tudent*",'Participant Responses'!$C$2:$C$1000,"f")</f>
        <v>0</v>
      </c>
      <c r="E113" s="4">
        <f>COUNTIFS('Participant Responses'!$Q$2:$Q$1000,"?tudent*",'Participant Responses'!$B$2:$B$1000,"&lt;=4")</f>
        <v>0</v>
      </c>
      <c r="F113" s="4">
        <f>COUNTIFS('Participant Responses'!$Q$2:$Q$1000,"?tudent*",'Participant Responses'!$B$2:$B$1000,"&gt;=5",'Participant Responses'!$B$2:$B$1000,"&lt;=14")</f>
        <v>0</v>
      </c>
      <c r="G113" s="4">
        <f>COUNTIFS('Participant Responses'!$Q$2:$Q$1000,"?tudent*",'Participant Responses'!$B$2:$B$1000,"&gt;=15",'Participant Responses'!$B$2:$B$1000,"&lt;=19")</f>
        <v>0</v>
      </c>
      <c r="H113" s="4">
        <f>COUNTIFS('Participant Responses'!$Q$2:$Q$1000,"?tudent*",'Participant Responses'!$B$2:$B$1000,"&gt;=20",'Participant Responses'!$B$2:$B$1000,"&lt;=24")</f>
        <v>0</v>
      </c>
      <c r="I113" s="4">
        <f>COUNTIFS('Participant Responses'!$Q$2:$Q$1000,"?tudent*",'Participant Responses'!$B$2:$B$1000,"&gt;=25",'Participant Responses'!$B$2:$B$1000,"&lt;=44")</f>
        <v>0</v>
      </c>
      <c r="J113" s="4">
        <f>COUNTIFS('Participant Responses'!$Q$2:$Q$1000,"?tudent*",'Participant Responses'!$B$2:$B$1000,"&gt;=45",'Participant Responses'!$B$2:$B$1000,"&lt;=54")</f>
        <v>0</v>
      </c>
      <c r="K113" s="4">
        <f>COUNTIFS('Participant Responses'!$Q$2:$Q$1000,"?tudent*",'Participant Responses'!$B$2:$B$1000,"&gt;=55",'Participant Responses'!$B$2:$B$1000,"&lt;=64")</f>
        <v>0</v>
      </c>
      <c r="L113" s="4">
        <f>COUNTIFS('Participant Responses'!$Q$2:$Q$1000,"?tudent*",'Participant Responses'!$B$2:$B$1000,"&gt;=65",'Participant Responses'!$B$2:$B$1000,"&lt;=74")</f>
        <v>0</v>
      </c>
      <c r="M113" s="4">
        <f>COUNTIFS('Participant Responses'!$Q$2:$Q$1000,"?tudent*",'Participant Responses'!$B$2:$B$1000,"&gt;=75",'Participant Responses'!$B$2:$B$1000,"&lt;=84")</f>
        <v>0</v>
      </c>
      <c r="N113" s="4">
        <f>COUNTIFS('Participant Responses'!$Q$2:$Q$1000,"?tudent*",'Participant Responses'!$B$2:$B$1000,"&gt;85")</f>
        <v>0</v>
      </c>
    </row>
    <row r="114" spans="1:14">
      <c r="A114" s="3" t="s">
        <v>67</v>
      </c>
      <c r="B114" s="13">
        <f>COUNTIF('Participant Responses'!$Q$2:$Q$1000,"?amil*")</f>
        <v>0</v>
      </c>
      <c r="C114" s="7">
        <f>COUNTIFS('Participant Responses'!$Q$2:$Q$1000,"?amil*",'Participant Responses'!$C$2:$C$1000,"m")</f>
        <v>0</v>
      </c>
      <c r="D114" s="4">
        <f>COUNTIFS('Participant Responses'!$Q$2:$Q$1000,"?amil*",'Participant Responses'!$C$2:$C$1000,"f")</f>
        <v>0</v>
      </c>
      <c r="E114" s="4">
        <f>COUNTIFS('Participant Responses'!$Q$2:$Q$1000,"?amil*",'Participant Responses'!$B$2:$B$1000,"&lt;=4")</f>
        <v>0</v>
      </c>
      <c r="F114" s="4">
        <f>COUNTIFS('Participant Responses'!$Q$2:$Q$1000,"?amil*",'Participant Responses'!$B$2:$B$1000,"&gt;=5",'Participant Responses'!$B$2:$B$1000,"&lt;=14")</f>
        <v>0</v>
      </c>
      <c r="G114" s="4">
        <f>COUNTIFS('Participant Responses'!$Q$2:$Q$1000,"?amil*",'Participant Responses'!$B$2:$B$1000,"&gt;=15",'Participant Responses'!$B$2:$B$1000,"&lt;=19")</f>
        <v>0</v>
      </c>
      <c r="H114" s="4">
        <f>COUNTIFS('Participant Responses'!$Q$2:$Q$1000,"?amil*",'Participant Responses'!$B$2:$B$1000,"&gt;=20",'Participant Responses'!$B$2:$B$1000,"&lt;=24")</f>
        <v>0</v>
      </c>
      <c r="I114" s="4">
        <f>COUNTIFS('Participant Responses'!$Q$2:$Q$1000,"?amil*",'Participant Responses'!$B$2:$B$1000,"&gt;=25",'Participant Responses'!$B$2:$B$1000,"&lt;=44")</f>
        <v>0</v>
      </c>
      <c r="J114" s="4">
        <f>COUNTIFS('Participant Responses'!$Q$2:$Q$1000,"?amil*",'Participant Responses'!$B$2:$B$1000,"&gt;=45",'Participant Responses'!$B$2:$B$1000,"&lt;=54")</f>
        <v>0</v>
      </c>
      <c r="K114" s="4">
        <f>COUNTIFS('Participant Responses'!$Q$2:$Q$1000,"?amil*",'Participant Responses'!$B$2:$B$1000,"&gt;=55",'Participant Responses'!$B$2:$B$1000,"&lt;=64")</f>
        <v>0</v>
      </c>
      <c r="L114" s="4">
        <f>COUNTIFS('Participant Responses'!$Q$2:$Q$1000,"?amil*",'Participant Responses'!$B$2:$B$1000,"&gt;=65",'Participant Responses'!$B$2:$B$1000,"&lt;=74")</f>
        <v>0</v>
      </c>
      <c r="M114" s="4">
        <f>COUNTIFS('Participant Responses'!$Q$2:$Q$1000,"?amil*",'Participant Responses'!$B$2:$B$1000,"&gt;=75",'Participant Responses'!$B$2:$B$1000,"&lt;=84")</f>
        <v>0</v>
      </c>
      <c r="N114" s="4">
        <f>COUNTIFS('Participant Responses'!$Q$2:$Q$1000,"?amil*",'Participant Responses'!$B$2:$B$1000,"&gt;85")</f>
        <v>0</v>
      </c>
    </row>
    <row r="116" spans="1:14" ht="60">
      <c r="A116" s="8" t="s">
        <v>68</v>
      </c>
      <c r="B116" s="11" t="s">
        <v>15</v>
      </c>
      <c r="C116" s="23" t="s">
        <v>2</v>
      </c>
      <c r="D116" s="24"/>
      <c r="E116" s="24" t="s">
        <v>5</v>
      </c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1:14">
      <c r="A117" s="3"/>
      <c r="B117" s="13"/>
      <c r="C117" s="7" t="s">
        <v>13</v>
      </c>
      <c r="D117" s="4" t="s">
        <v>14</v>
      </c>
      <c r="E117" s="3" t="s">
        <v>6</v>
      </c>
      <c r="F117" s="3" t="s">
        <v>17</v>
      </c>
      <c r="G117" s="3" t="s">
        <v>7</v>
      </c>
      <c r="H117" s="3" t="s">
        <v>8</v>
      </c>
      <c r="I117" s="3" t="s">
        <v>9</v>
      </c>
      <c r="J117" s="3" t="s">
        <v>10</v>
      </c>
      <c r="K117" s="3" t="s">
        <v>11</v>
      </c>
      <c r="L117" s="3" t="s">
        <v>18</v>
      </c>
      <c r="M117" s="3" t="s">
        <v>12</v>
      </c>
      <c r="N117" s="3" t="s">
        <v>16</v>
      </c>
    </row>
    <row r="118" spans="1:14">
      <c r="A118" s="9" t="s">
        <v>64</v>
      </c>
      <c r="B118" s="12">
        <f>COUNTIF('Participant Responses'!$R$2:$R$1000,"?hild*")</f>
        <v>0</v>
      </c>
      <c r="C118" s="10">
        <f>COUNTIFS('Participant Responses'!$R$2:$R$1000,"?hild*",'Participant Responses'!$C$2:$C$1000,"m")</f>
        <v>0</v>
      </c>
      <c r="D118" s="4">
        <f>COUNTIFS('Participant Responses'!$R$2:$R$1000,"?hild*",'Participant Responses'!$C$2:$C$1000,"f")</f>
        <v>0</v>
      </c>
      <c r="E118" s="5">
        <f>COUNTIFS('Participant Responses'!$R$2:$R$1000,"?hild*",'Participant Responses'!$B$2:$B$1000,"&lt;=4")</f>
        <v>0</v>
      </c>
      <c r="F118" s="4">
        <f>COUNTIFS('Participant Responses'!$R$2:$R$1000,"?hild*",'Participant Responses'!$B$2:$B$1000,"&gt;=5",'Participant Responses'!$B$2:$B$1000,"&lt;=14")</f>
        <v>0</v>
      </c>
      <c r="G118" s="4">
        <f>COUNTIFS('Participant Responses'!$R$2:$R$1000,"?hild*",'Participant Responses'!$B$2:$B$1000,"&gt;=15",'Participant Responses'!$B$2:$B$1000,"&lt;=19")</f>
        <v>0</v>
      </c>
      <c r="H118" s="4">
        <f>COUNTIFS('Participant Responses'!$R$2:$R$1000,"?hild*",'Participant Responses'!$B$2:$B$1000,"&gt;=20",'Participant Responses'!$B$2:$B$1000,"&lt;=24")</f>
        <v>0</v>
      </c>
      <c r="I118" s="4">
        <f>COUNTIFS('Participant Responses'!$R$2:$R$1000,"?hild*",'Participant Responses'!$B$2:$B$1000,"&gt;=25",'Participant Responses'!$B$2:$B$1000,"&lt;=44")</f>
        <v>0</v>
      </c>
      <c r="J118" s="4">
        <f>COUNTIFS('Participant Responses'!$R$2:$R$1000,"?hild*",'Participant Responses'!$B$2:$B$1000,"&gt;=45",'Participant Responses'!$B$2:$B$1000,"&lt;=54")</f>
        <v>0</v>
      </c>
      <c r="K118" s="4">
        <f>COUNTIFS('Participant Responses'!$R$2:$R$1000,"?hild*",'Participant Responses'!$B$2:$B$1000,"&gt;=55",'Participant Responses'!$B$2:$B$1000,"&lt;=64")</f>
        <v>0</v>
      </c>
      <c r="L118" s="4">
        <f>COUNTIFS('Participant Responses'!$R$2:$R$1000,"?hild*",'Participant Responses'!$B$2:$B$1000,"&gt;=65",'Participant Responses'!$B$2:$B$1000,"&lt;=74")</f>
        <v>0</v>
      </c>
      <c r="M118" s="4">
        <f>COUNTIFS('Participant Responses'!$R$2:$R$1000,"?hild*",'Participant Responses'!$B$2:$B$1000,"&gt;=75",'Participant Responses'!$B$2:$B$1000,"&lt;=84")</f>
        <v>0</v>
      </c>
      <c r="N118" s="4">
        <f>COUNTIFS('Participant Responses'!$R$2:$R$1000,"?hild*",'Participant Responses'!$B$2:$B$1000,"&gt;=85")</f>
        <v>0</v>
      </c>
    </row>
    <row r="119" spans="1:14">
      <c r="A119" s="3" t="s">
        <v>65</v>
      </c>
      <c r="B119" s="13">
        <f>COUNTIF('Participant Responses'!$R$2:$R$1000,"?een*")</f>
        <v>0</v>
      </c>
      <c r="C119" s="7">
        <f>COUNTIFS('Participant Responses'!$R$2:$R$1000,"?een*",'Participant Responses'!$C$2:$C$1000,"m")</f>
        <v>0</v>
      </c>
      <c r="D119" s="4">
        <f>COUNTIFS('Participant Responses'!$R$2:$R$1000,"?een*",'Participant Responses'!$C$2:$C$1000,"f")</f>
        <v>0</v>
      </c>
      <c r="E119" s="4">
        <f>COUNTIFS('Participant Responses'!$R$2:$R$1000,"?een*",'Participant Responses'!$B$2:$B$1000,"&lt;=4")</f>
        <v>0</v>
      </c>
      <c r="F119" s="4">
        <f>COUNTIFS('Participant Responses'!$R$2:$R$1000,"?een*",'Participant Responses'!$B$2:$B$1000,"&gt;=5",'Participant Responses'!$B$2:$B$1000,"&lt;=14")</f>
        <v>0</v>
      </c>
      <c r="G119" s="4">
        <f>COUNTIFS('Participant Responses'!$R$2:$R$1000,"?een*",'Participant Responses'!$B$2:$B$1000,"&gt;=15",'Participant Responses'!$B$2:$B$1000,"&lt;=19")</f>
        <v>0</v>
      </c>
      <c r="H119" s="4">
        <f>COUNTIFS('Participant Responses'!$R$2:$R$1000,"?een*",'Participant Responses'!$B$2:$B$1000,"&gt;=20",'Participant Responses'!$B$2:$B$1000,"&lt;=24")</f>
        <v>0</v>
      </c>
      <c r="I119" s="4">
        <f>COUNTIFS('Participant Responses'!$R$2:$R$1000,"?een*",'Participant Responses'!$B$2:$B$1000,"&gt;=25",'Participant Responses'!$B$2:$B$1000,"&lt;=44")</f>
        <v>0</v>
      </c>
      <c r="J119" s="4">
        <f>COUNTIFS('Participant Responses'!$R$2:$R$1000,"?een*",'Participant Responses'!$B$2:$B$1000,"&gt;=45",'Participant Responses'!$B$2:$B$1000,"&lt;=54")</f>
        <v>0</v>
      </c>
      <c r="K119" s="4">
        <f>COUNTIFS('Participant Responses'!$R$2:$R$1000,"?een*",'Participant Responses'!$B$2:$B$1000,"&gt;=55",'Participant Responses'!$B$2:$B$1000,"&lt;=64")</f>
        <v>0</v>
      </c>
      <c r="L119" s="4">
        <f>COUNTIFS('Participant Responses'!$R$2:$R$1000,"?een*",'Participant Responses'!$B$2:$B$1000,"&gt;=65",'Participant Responses'!$B$2:$B$1000,"&lt;=74")</f>
        <v>0</v>
      </c>
      <c r="M119" s="4">
        <f>COUNTIFS('Participant Responses'!$R$2:$R$1000,"?een*",'Participant Responses'!$B$2:$B$1000,"&gt;=75",'Participant Responses'!$B$2:$B$1000,"&lt;=84")</f>
        <v>0</v>
      </c>
      <c r="N119" s="4">
        <f>COUNTIFS('Participant Responses'!$R$2:$R$1000,"?een*",'Participant Responses'!$B$2:$B$1000,"&gt;85")</f>
        <v>0</v>
      </c>
    </row>
    <row r="120" spans="1:14">
      <c r="A120" s="3" t="s">
        <v>19</v>
      </c>
      <c r="B120" s="13">
        <f>COUNTIF('Participant Responses'!$R$2:$R$1000,"?lder*")</f>
        <v>0</v>
      </c>
      <c r="C120" s="7">
        <f>COUNTIFS('Participant Responses'!$R$2:$R$1000,"?lder*",'Participant Responses'!$C$2:$C$1000,"m")</f>
        <v>0</v>
      </c>
      <c r="D120" s="4">
        <f>COUNTIFS('Participant Responses'!$R$2:$R$1000,"?lder*",'Participant Responses'!$C$2:$C$1000,"f")</f>
        <v>0</v>
      </c>
      <c r="E120" s="4">
        <f>COUNTIFS('Participant Responses'!$R$2:$R$1000,"?lder*",'Participant Responses'!$B$2:$B$1000,"&lt;=4")</f>
        <v>0</v>
      </c>
      <c r="F120" s="4">
        <f>COUNTIFS('Participant Responses'!$R$2:$R$1000,"?lder*",'Participant Responses'!$B$2:$B$1000,"&gt;=5",'Participant Responses'!$B$2:$B$1000,"&lt;=14")</f>
        <v>0</v>
      </c>
      <c r="G120" s="4">
        <f>COUNTIFS('Participant Responses'!$R$2:$R$1000,"?lder*",'Participant Responses'!$B$2:$B$1000,"&gt;=15",'Participant Responses'!$B$2:$B$1000,"&lt;=19")</f>
        <v>0</v>
      </c>
      <c r="H120" s="4">
        <f>COUNTIFS('Participant Responses'!$R$2:$R$1000,"?lder*",'Participant Responses'!$B$2:$B$1000,"&gt;=20",'Participant Responses'!$B$2:$B$1000,"&lt;=24")</f>
        <v>0</v>
      </c>
      <c r="I120" s="4">
        <f>COUNTIFS('Participant Responses'!$R$2:$R$1000,"?lder*",'Participant Responses'!$B$2:$B$1000,"&gt;=25",'Participant Responses'!$B$2:$B$1000,"&lt;=44")</f>
        <v>0</v>
      </c>
      <c r="J120" s="4">
        <f>COUNTIFS('Participant Responses'!$R$2:$R$1000,"?lder*",'Participant Responses'!$B$2:$B$1000,"&gt;=45",'Participant Responses'!$B$2:$B$1000,"&lt;=54")</f>
        <v>0</v>
      </c>
      <c r="K120" s="4">
        <f>COUNTIFS('Participant Responses'!$R$2:$R$1000,"?lder*",'Participant Responses'!$B$2:$B$1000,"&gt;=55",'Participant Responses'!$B$2:$B$1000,"&lt;=64")</f>
        <v>0</v>
      </c>
      <c r="L120" s="4">
        <f>COUNTIFS('Participant Responses'!$R$2:$R$1000,"?lder*",'Participant Responses'!$B$2:$B$1000,"&gt;=65",'Participant Responses'!$B$2:$B$1000,"&lt;=74")</f>
        <v>0</v>
      </c>
      <c r="M120" s="4">
        <f>COUNTIFS('Participant Responses'!$R$2:$R$1000,"?lder*",'Participant Responses'!$B$2:$B$1000,"&gt;=75",'Participant Responses'!$B$2:$B$1000,"&lt;=84")</f>
        <v>0</v>
      </c>
      <c r="N120" s="4">
        <f>COUNTIFS('Participant Responses'!$R$2:$R$1000,"?lder*",'Participant Responses'!$B$2:$B$1000,"&gt;85")</f>
        <v>0</v>
      </c>
    </row>
    <row r="121" spans="1:14">
      <c r="A121" s="3" t="s">
        <v>66</v>
      </c>
      <c r="B121" s="13">
        <f>COUNTIF('Participant Responses'!$R$2:$R$1000,"?tudent*")</f>
        <v>0</v>
      </c>
      <c r="C121" s="7">
        <f>COUNTIFS('Participant Responses'!$R$2:$R$1000,"?tudent*",'Participant Responses'!$C$2:$C$1000,"m")</f>
        <v>0</v>
      </c>
      <c r="D121" s="4">
        <f>COUNTIFS('Participant Responses'!$R$2:$R$1000,"?tudent*",'Participant Responses'!$C$2:$C$1000,"f")</f>
        <v>0</v>
      </c>
      <c r="E121" s="4">
        <f>COUNTIFS('Participant Responses'!$R$2:$R$1000,"?tudent*",'Participant Responses'!$B$2:$B$1000,"&lt;=4")</f>
        <v>0</v>
      </c>
      <c r="F121" s="4">
        <f>COUNTIFS('Participant Responses'!$R$2:$R$1000,"?tudent*",'Participant Responses'!$B$2:$B$1000,"&gt;=5",'Participant Responses'!$B$2:$B$1000,"&lt;=14")</f>
        <v>0</v>
      </c>
      <c r="G121" s="4">
        <f>COUNTIFS('Participant Responses'!$R$2:$R$1000,"?tudent*",'Participant Responses'!$B$2:$B$1000,"&gt;=15",'Participant Responses'!$B$2:$B$1000,"&lt;=19")</f>
        <v>0</v>
      </c>
      <c r="H121" s="4">
        <f>COUNTIFS('Participant Responses'!$R$2:$R$1000,"?tudent*",'Participant Responses'!$B$2:$B$1000,"&gt;=20",'Participant Responses'!$B$2:$B$1000,"&lt;=24")</f>
        <v>0</v>
      </c>
      <c r="I121" s="4">
        <f>COUNTIFS('Participant Responses'!$R$2:$R$1000,"?tudent*",'Participant Responses'!$B$2:$B$1000,"&gt;=25",'Participant Responses'!$B$2:$B$1000,"&lt;=44")</f>
        <v>0</v>
      </c>
      <c r="J121" s="4">
        <f>COUNTIFS('Participant Responses'!$R$2:$R$1000,"?tudent*",'Participant Responses'!$B$2:$B$1000,"&gt;=45",'Participant Responses'!$B$2:$B$1000,"&lt;=54")</f>
        <v>0</v>
      </c>
      <c r="K121" s="4">
        <f>COUNTIFS('Participant Responses'!$R$2:$R$1000,"?tudent*",'Participant Responses'!$B$2:$B$1000,"&gt;=55",'Participant Responses'!$B$2:$B$1000,"&lt;=64")</f>
        <v>0</v>
      </c>
      <c r="L121" s="4">
        <f>COUNTIFS('Participant Responses'!$R$2:$R$1000,"?tudent*",'Participant Responses'!$B$2:$B$1000,"&gt;=65",'Participant Responses'!$B$2:$B$1000,"&lt;=74")</f>
        <v>0</v>
      </c>
      <c r="M121" s="4">
        <f>COUNTIFS('Participant Responses'!$R$2:$R$1000,"?tudent*",'Participant Responses'!$B$2:$B$1000,"&gt;=75",'Participant Responses'!$B$2:$B$1000,"&lt;=84")</f>
        <v>0</v>
      </c>
      <c r="N121" s="4">
        <f>COUNTIFS('Participant Responses'!$R$2:$R$1000,"?tudent*",'Participant Responses'!$B$2:$B$1000,"&gt;85")</f>
        <v>0</v>
      </c>
    </row>
    <row r="122" spans="1:14">
      <c r="A122" s="3" t="s">
        <v>67</v>
      </c>
      <c r="B122" s="13">
        <f>COUNTIF('Participant Responses'!$R$2:$R$1000,"?amil*")</f>
        <v>0</v>
      </c>
      <c r="C122" s="7">
        <f>COUNTIFS('Participant Responses'!$R$2:$R$1000,"?amil*",'Participant Responses'!$C$2:$C$1000,"m")</f>
        <v>0</v>
      </c>
      <c r="D122" s="4">
        <f>COUNTIFS('Participant Responses'!$R$2:$R$1000,"?amil*",'Participant Responses'!$C$2:$C$1000,"f")</f>
        <v>0</v>
      </c>
      <c r="E122" s="4">
        <f>COUNTIFS('Participant Responses'!$R$2:$R$1000,"?amil*",'Participant Responses'!$B$2:$B$1000,"&lt;=4")</f>
        <v>0</v>
      </c>
      <c r="F122" s="4">
        <f>COUNTIFS('Participant Responses'!$R$2:$R$1000,"?amil*",'Participant Responses'!$B$2:$B$1000,"&gt;=5",'Participant Responses'!$B$2:$B$1000,"&lt;=14")</f>
        <v>0</v>
      </c>
      <c r="G122" s="4">
        <f>COUNTIFS('Participant Responses'!$R$2:$R$1000,"?amil*",'Participant Responses'!$B$2:$B$1000,"&gt;=15",'Participant Responses'!$B$2:$B$1000,"&lt;=19")</f>
        <v>0</v>
      </c>
      <c r="H122" s="4">
        <f>COUNTIFS('Participant Responses'!$R$2:$R$1000,"?amil*",'Participant Responses'!$B$2:$B$1000,"&gt;=20",'Participant Responses'!$B$2:$B$1000,"&lt;=24")</f>
        <v>0</v>
      </c>
      <c r="I122" s="4">
        <f>COUNTIFS('Participant Responses'!$R$2:$R$1000,"?amil*",'Participant Responses'!$B$2:$B$1000,"&gt;=25",'Participant Responses'!$B$2:$B$1000,"&lt;=44")</f>
        <v>0</v>
      </c>
      <c r="J122" s="4">
        <f>COUNTIFS('Participant Responses'!$R$2:$R$1000,"?amil*",'Participant Responses'!$B$2:$B$1000,"&gt;=45",'Participant Responses'!$B$2:$B$1000,"&lt;=54")</f>
        <v>0</v>
      </c>
      <c r="K122" s="4">
        <f>COUNTIFS('Participant Responses'!$R$2:$R$1000,"?amil*",'Participant Responses'!$B$2:$B$1000,"&gt;=55",'Participant Responses'!$B$2:$B$1000,"&lt;=64")</f>
        <v>0</v>
      </c>
      <c r="L122" s="4">
        <f>COUNTIFS('Participant Responses'!$R$2:$R$1000,"?amil*",'Participant Responses'!$B$2:$B$1000,"&gt;=65",'Participant Responses'!$B$2:$B$1000,"&lt;=74")</f>
        <v>0</v>
      </c>
      <c r="M122" s="4">
        <f>COUNTIFS('Participant Responses'!$R$2:$R$1000,"?amil*",'Participant Responses'!$B$2:$B$1000,"&gt;=75",'Participant Responses'!$B$2:$B$1000,"&lt;=84")</f>
        <v>0</v>
      </c>
      <c r="N122" s="4">
        <f>COUNTIFS('Participant Responses'!$R$2:$R$1000,"?amil*",'Participant Responses'!$B$2:$B$1000,"&gt;85")</f>
        <v>0</v>
      </c>
    </row>
    <row r="124" spans="1:14" ht="60">
      <c r="A124" s="8" t="s">
        <v>69</v>
      </c>
      <c r="B124" s="11" t="s">
        <v>15</v>
      </c>
      <c r="C124" s="23" t="s">
        <v>2</v>
      </c>
      <c r="D124" s="24"/>
      <c r="E124" s="24" t="s">
        <v>5</v>
      </c>
      <c r="F124" s="24"/>
      <c r="G124" s="24"/>
      <c r="H124" s="24"/>
      <c r="I124" s="24"/>
      <c r="J124" s="24"/>
      <c r="K124" s="24"/>
      <c r="L124" s="24"/>
      <c r="M124" s="24"/>
      <c r="N124" s="24"/>
    </row>
    <row r="125" spans="1:14">
      <c r="A125" s="3"/>
      <c r="B125" s="13"/>
      <c r="C125" s="7" t="s">
        <v>13</v>
      </c>
      <c r="D125" s="4" t="s">
        <v>14</v>
      </c>
      <c r="E125" s="3" t="s">
        <v>6</v>
      </c>
      <c r="F125" s="3" t="s">
        <v>17</v>
      </c>
      <c r="G125" s="3" t="s">
        <v>7</v>
      </c>
      <c r="H125" s="3" t="s">
        <v>8</v>
      </c>
      <c r="I125" s="3" t="s">
        <v>9</v>
      </c>
      <c r="J125" s="3" t="s">
        <v>10</v>
      </c>
      <c r="K125" s="3" t="s">
        <v>11</v>
      </c>
      <c r="L125" s="3" t="s">
        <v>18</v>
      </c>
      <c r="M125" s="3" t="s">
        <v>12</v>
      </c>
      <c r="N125" s="3" t="s">
        <v>16</v>
      </c>
    </row>
    <row r="126" spans="1:14">
      <c r="A126" s="9" t="s">
        <v>64</v>
      </c>
      <c r="B126" s="12">
        <f>COUNTIF('Participant Responses'!$S$2:$S$1000,"?hild*")</f>
        <v>0</v>
      </c>
      <c r="C126" s="10">
        <f>COUNTIFS('Participant Responses'!$S$2:$S$1000,"?hild*",'Participant Responses'!$C$2:$C$1000,"m")</f>
        <v>0</v>
      </c>
      <c r="D126" s="4">
        <f>COUNTIFS('Participant Responses'!$S$2:$S$1000,"?hild*",'Participant Responses'!$C$2:$C$1000,"f")</f>
        <v>0</v>
      </c>
      <c r="E126" s="5">
        <f>COUNTIFS('Participant Responses'!$S$2:$S$1000,"?hild*",'Participant Responses'!$B$2:$B$1000,"&lt;=4")</f>
        <v>0</v>
      </c>
      <c r="F126" s="4">
        <f>COUNTIFS('Participant Responses'!$S$2:$S$1000,"?hild*",'Participant Responses'!$B$2:$B$1000,"&gt;=5",'Participant Responses'!$B$2:$B$1000,"&lt;=14")</f>
        <v>0</v>
      </c>
      <c r="G126" s="4">
        <f>COUNTIFS('Participant Responses'!$S$2:$S$1000,"?hild*",'Participant Responses'!$B$2:$B$1000,"&gt;=15",'Participant Responses'!$B$2:$B$1000,"&lt;=19")</f>
        <v>0</v>
      </c>
      <c r="H126" s="4">
        <f>COUNTIFS('Participant Responses'!$S$2:$S$1000,"?hild*",'Participant Responses'!$B$2:$B$1000,"&gt;=20",'Participant Responses'!$B$2:$B$1000,"&lt;=24")</f>
        <v>0</v>
      </c>
      <c r="I126" s="4">
        <f>COUNTIFS('Participant Responses'!$S$2:$S$1000,"?hild*",'Participant Responses'!$B$2:$B$1000,"&gt;=25",'Participant Responses'!$B$2:$B$1000,"&lt;=44")</f>
        <v>0</v>
      </c>
      <c r="J126" s="4">
        <f>COUNTIFS('Participant Responses'!$S$2:$S$1000,"?hild*",'Participant Responses'!$B$2:$B$1000,"&gt;=45",'Participant Responses'!$B$2:$B$1000,"&lt;=54")</f>
        <v>0</v>
      </c>
      <c r="K126" s="4">
        <f>COUNTIFS('Participant Responses'!$S$2:$S$1000,"?hild*",'Participant Responses'!$B$2:$B$1000,"&gt;=55",'Participant Responses'!$B$2:$B$1000,"&lt;=64")</f>
        <v>0</v>
      </c>
      <c r="L126" s="4">
        <f>COUNTIFS('Participant Responses'!$S$2:$S$1000,"?hild*",'Participant Responses'!$B$2:$B$1000,"&gt;=65",'Participant Responses'!$B$2:$B$1000,"&lt;=74")</f>
        <v>0</v>
      </c>
      <c r="M126" s="4">
        <f>COUNTIFS('Participant Responses'!$S$2:$S$1000,"?hild*",'Participant Responses'!$B$2:$B$1000,"&gt;=75",'Participant Responses'!$B$2:$B$1000,"&lt;=84")</f>
        <v>0</v>
      </c>
      <c r="N126" s="4">
        <f>COUNTIFS('Participant Responses'!$S$2:$S$1000,"?hild*",'Participant Responses'!$B$2:$B$1000,"&gt;=85")</f>
        <v>0</v>
      </c>
    </row>
    <row r="127" spans="1:14">
      <c r="A127" s="3" t="s">
        <v>65</v>
      </c>
      <c r="B127" s="13">
        <f>COUNTIF('Participant Responses'!$S$2:$S$1000,"?een*")</f>
        <v>0</v>
      </c>
      <c r="C127" s="7">
        <f>COUNTIFS('Participant Responses'!$S$2:$S$1000,"?een*",'Participant Responses'!$C$2:$C$1000,"m")</f>
        <v>0</v>
      </c>
      <c r="D127" s="4">
        <f>COUNTIFS('Participant Responses'!$S$2:$S$1000,"?een*",'Participant Responses'!$C$2:$C$1000,"f")</f>
        <v>0</v>
      </c>
      <c r="E127" s="4">
        <f>COUNTIFS('Participant Responses'!$S$2:$S$1000,"?een*",'Participant Responses'!$B$2:$B$1000,"&lt;=4")</f>
        <v>0</v>
      </c>
      <c r="F127" s="4">
        <f>COUNTIFS('Participant Responses'!$S$2:$S$1000,"?een*",'Participant Responses'!$B$2:$B$1000,"&gt;=5",'Participant Responses'!$B$2:$B$1000,"&lt;=14")</f>
        <v>0</v>
      </c>
      <c r="G127" s="4">
        <f>COUNTIFS('Participant Responses'!$S$2:$S$1000,"?een*",'Participant Responses'!$B$2:$B$1000,"&gt;=15",'Participant Responses'!$B$2:$B$1000,"&lt;=19")</f>
        <v>0</v>
      </c>
      <c r="H127" s="4">
        <f>COUNTIFS('Participant Responses'!$S$2:$S$1000,"?een*",'Participant Responses'!$B$2:$B$1000,"&gt;=20",'Participant Responses'!$B$2:$B$1000,"&lt;=24")</f>
        <v>0</v>
      </c>
      <c r="I127" s="4">
        <f>COUNTIFS('Participant Responses'!$S$2:$S$1000,"?een*",'Participant Responses'!$B$2:$B$1000,"&gt;=25",'Participant Responses'!$B$2:$B$1000,"&lt;=44")</f>
        <v>0</v>
      </c>
      <c r="J127" s="4">
        <f>COUNTIFS('Participant Responses'!$S$2:$S$1000,"?een*",'Participant Responses'!$B$2:$B$1000,"&gt;=45",'Participant Responses'!$B$2:$B$1000,"&lt;=54")</f>
        <v>0</v>
      </c>
      <c r="K127" s="4">
        <f>COUNTIFS('Participant Responses'!$S$2:$S$1000,"?een*",'Participant Responses'!$B$2:$B$1000,"&gt;=55",'Participant Responses'!$B$2:$B$1000,"&lt;=64")</f>
        <v>0</v>
      </c>
      <c r="L127" s="4">
        <f>COUNTIFS('Participant Responses'!$S$2:$S$1000,"?een*",'Participant Responses'!$B$2:$B$1000,"&gt;=65",'Participant Responses'!$B$2:$B$1000,"&lt;=74")</f>
        <v>0</v>
      </c>
      <c r="M127" s="4">
        <f>COUNTIFS('Participant Responses'!$S$2:$S$1000,"?een*",'Participant Responses'!$B$2:$B$1000,"&gt;=75",'Participant Responses'!$B$2:$B$1000,"&lt;=84")</f>
        <v>0</v>
      </c>
      <c r="N127" s="4">
        <f>COUNTIFS('Participant Responses'!$S$2:$S$1000,"?een*",'Participant Responses'!$B$2:$B$1000,"&gt;85")</f>
        <v>0</v>
      </c>
    </row>
    <row r="128" spans="1:14">
      <c r="A128" s="3" t="s">
        <v>19</v>
      </c>
      <c r="B128" s="13">
        <f>COUNTIF('Participant Responses'!$S$2:$S$1000,"?lder*")</f>
        <v>0</v>
      </c>
      <c r="C128" s="7">
        <f>COUNTIFS('Participant Responses'!$S$2:$S$1000,"?lder*",'Participant Responses'!$C$2:$C$1000,"m")</f>
        <v>0</v>
      </c>
      <c r="D128" s="4">
        <f>COUNTIFS('Participant Responses'!$S$2:$S$1000,"?lder*",'Participant Responses'!$C$2:$C$1000,"f")</f>
        <v>0</v>
      </c>
      <c r="E128" s="4">
        <f>COUNTIFS('Participant Responses'!$S$2:$S$1000,"?lder*",'Participant Responses'!$B$2:$B$1000,"&lt;=4")</f>
        <v>0</v>
      </c>
      <c r="F128" s="4">
        <f>COUNTIFS('Participant Responses'!$S$2:$S$1000,"?lder*",'Participant Responses'!$B$2:$B$1000,"&gt;=5",'Participant Responses'!$B$2:$B$1000,"&lt;=14")</f>
        <v>0</v>
      </c>
      <c r="G128" s="4">
        <f>COUNTIFS('Participant Responses'!$S$2:$S$1000,"?lder*",'Participant Responses'!$B$2:$B$1000,"&gt;=15",'Participant Responses'!$B$2:$B$1000,"&lt;=19")</f>
        <v>0</v>
      </c>
      <c r="H128" s="4">
        <f>COUNTIFS('Participant Responses'!$S$2:$S$1000,"?lder*",'Participant Responses'!$B$2:$B$1000,"&gt;=20",'Participant Responses'!$B$2:$B$1000,"&lt;=24")</f>
        <v>0</v>
      </c>
      <c r="I128" s="4">
        <f>COUNTIFS('Participant Responses'!$S$2:$S$1000,"?lder*",'Participant Responses'!$B$2:$B$1000,"&gt;=25",'Participant Responses'!$B$2:$B$1000,"&lt;=44")</f>
        <v>0</v>
      </c>
      <c r="J128" s="4">
        <f>COUNTIFS('Participant Responses'!$S$2:$S$1000,"?lder*",'Participant Responses'!$B$2:$B$1000,"&gt;=45",'Participant Responses'!$B$2:$B$1000,"&lt;=54")</f>
        <v>0</v>
      </c>
      <c r="K128" s="4">
        <f>COUNTIFS('Participant Responses'!$S$2:$S$1000,"?lder*",'Participant Responses'!$B$2:$B$1000,"&gt;=55",'Participant Responses'!$B$2:$B$1000,"&lt;=64")</f>
        <v>0</v>
      </c>
      <c r="L128" s="4">
        <f>COUNTIFS('Participant Responses'!$S$2:$S$1000,"?lder*",'Participant Responses'!$B$2:$B$1000,"&gt;=65",'Participant Responses'!$B$2:$B$1000,"&lt;=74")</f>
        <v>0</v>
      </c>
      <c r="M128" s="4">
        <f>COUNTIFS('Participant Responses'!$S$2:$S$1000,"?lder*",'Participant Responses'!$B$2:$B$1000,"&gt;=75",'Participant Responses'!$B$2:$B$1000,"&lt;=84")</f>
        <v>0</v>
      </c>
      <c r="N128" s="4">
        <f>COUNTIFS('Participant Responses'!$S$2:$S$1000,"?lder*",'Participant Responses'!$B$2:$B$1000,"&gt;85")</f>
        <v>0</v>
      </c>
    </row>
    <row r="129" spans="1:14">
      <c r="A129" s="3" t="s">
        <v>66</v>
      </c>
      <c r="B129" s="13">
        <f>COUNTIF('Participant Responses'!$S$2:$S$1000,"?tudent*")</f>
        <v>0</v>
      </c>
      <c r="C129" s="7">
        <f>COUNTIFS('Participant Responses'!$S$2:$S$1000,"?tudent*",'Participant Responses'!$C$2:$C$1000,"m")</f>
        <v>0</v>
      </c>
      <c r="D129" s="4">
        <f>COUNTIFS('Participant Responses'!$S$2:$S$1000,"?tudent*",'Participant Responses'!$C$2:$C$1000,"f")</f>
        <v>0</v>
      </c>
      <c r="E129" s="4">
        <f>COUNTIFS('Participant Responses'!$S$2:$S$1000,"?tudent*",'Participant Responses'!$B$2:$B$1000,"&lt;=4")</f>
        <v>0</v>
      </c>
      <c r="F129" s="4">
        <f>COUNTIFS('Participant Responses'!$S$2:$S$1000,"?tudent*",'Participant Responses'!$B$2:$B$1000,"&gt;=5",'Participant Responses'!$B$2:$B$1000,"&lt;=14")</f>
        <v>0</v>
      </c>
      <c r="G129" s="4">
        <f>COUNTIFS('Participant Responses'!$S$2:$S$1000,"?tudent*",'Participant Responses'!$B$2:$B$1000,"&gt;=15",'Participant Responses'!$B$2:$B$1000,"&lt;=19")</f>
        <v>0</v>
      </c>
      <c r="H129" s="4">
        <f>COUNTIFS('Participant Responses'!$S$2:$S$1000,"?tudent*",'Participant Responses'!$B$2:$B$1000,"&gt;=20",'Participant Responses'!$B$2:$B$1000,"&lt;=24")</f>
        <v>0</v>
      </c>
      <c r="I129" s="4">
        <f>COUNTIFS('Participant Responses'!$S$2:$S$1000,"?tudent*",'Participant Responses'!$B$2:$B$1000,"&gt;=25",'Participant Responses'!$B$2:$B$1000,"&lt;=44")</f>
        <v>0</v>
      </c>
      <c r="J129" s="4">
        <f>COUNTIFS('Participant Responses'!$S$2:$S$1000,"?tudent*",'Participant Responses'!$B$2:$B$1000,"&gt;=45",'Participant Responses'!$B$2:$B$1000,"&lt;=54")</f>
        <v>0</v>
      </c>
      <c r="K129" s="4">
        <f>COUNTIFS('Participant Responses'!$S$2:$S$1000,"?tudent*",'Participant Responses'!$B$2:$B$1000,"&gt;=55",'Participant Responses'!$B$2:$B$1000,"&lt;=64")</f>
        <v>0</v>
      </c>
      <c r="L129" s="4">
        <f>COUNTIFS('Participant Responses'!$S$2:$S$1000,"?tudent*",'Participant Responses'!$B$2:$B$1000,"&gt;=65",'Participant Responses'!$B$2:$B$1000,"&lt;=74")</f>
        <v>0</v>
      </c>
      <c r="M129" s="4">
        <f>COUNTIFS('Participant Responses'!$S$2:$S$1000,"?tudent*",'Participant Responses'!$B$2:$B$1000,"&gt;=75",'Participant Responses'!$B$2:$B$1000,"&lt;=84")</f>
        <v>0</v>
      </c>
      <c r="N129" s="4">
        <f>COUNTIFS('Participant Responses'!$S$2:$S$1000,"?tudent*",'Participant Responses'!$B$2:$B$1000,"&gt;85")</f>
        <v>0</v>
      </c>
    </row>
    <row r="130" spans="1:14">
      <c r="A130" s="3" t="s">
        <v>67</v>
      </c>
      <c r="B130" s="13">
        <f>COUNTIF('Participant Responses'!$S$2:$S$1000,"?amil*")</f>
        <v>0</v>
      </c>
      <c r="C130" s="7">
        <f>COUNTIFS('Participant Responses'!$S$2:$S$1000,"?amil*",'Participant Responses'!$C$2:$C$1000,"m")</f>
        <v>0</v>
      </c>
      <c r="D130" s="4">
        <f>COUNTIFS('Participant Responses'!$S$2:$S$1000,"?amil*",'Participant Responses'!$C$2:$C$1000,"f")</f>
        <v>0</v>
      </c>
      <c r="E130" s="4">
        <f>COUNTIFS('Participant Responses'!$S$2:$S$1000,"?amil*",'Participant Responses'!$B$2:$B$1000,"&lt;=4")</f>
        <v>0</v>
      </c>
      <c r="F130" s="4">
        <f>COUNTIFS('Participant Responses'!$S$2:$S$1000,"?amil*",'Participant Responses'!$B$2:$B$1000,"&gt;=5",'Participant Responses'!$B$2:$B$1000,"&lt;=14")</f>
        <v>0</v>
      </c>
      <c r="G130" s="4">
        <f>COUNTIFS('Participant Responses'!$S$2:$S$1000,"?amil*",'Participant Responses'!$B$2:$B$1000,"&gt;=15",'Participant Responses'!$B$2:$B$1000,"&lt;=19")</f>
        <v>0</v>
      </c>
      <c r="H130" s="4">
        <f>COUNTIFS('Participant Responses'!$S$2:$S$1000,"?amil*",'Participant Responses'!$B$2:$B$1000,"&gt;=20",'Participant Responses'!$B$2:$B$1000,"&lt;=24")</f>
        <v>0</v>
      </c>
      <c r="I130" s="4">
        <f>COUNTIFS('Participant Responses'!$S$2:$S$1000,"?amil*",'Participant Responses'!$B$2:$B$1000,"&gt;=25",'Participant Responses'!$B$2:$B$1000,"&lt;=44")</f>
        <v>0</v>
      </c>
      <c r="J130" s="4">
        <f>COUNTIFS('Participant Responses'!$S$2:$S$1000,"?amil*",'Participant Responses'!$B$2:$B$1000,"&gt;=45",'Participant Responses'!$B$2:$B$1000,"&lt;=54")</f>
        <v>0</v>
      </c>
      <c r="K130" s="4">
        <f>COUNTIFS('Participant Responses'!$S$2:$S$1000,"?amil*",'Participant Responses'!$B$2:$B$1000,"&gt;=55",'Participant Responses'!$B$2:$B$1000,"&lt;=64")</f>
        <v>0</v>
      </c>
      <c r="L130" s="4">
        <f>COUNTIFS('Participant Responses'!$S$2:$S$1000,"?amil*",'Participant Responses'!$B$2:$B$1000,"&gt;=65",'Participant Responses'!$B$2:$B$1000,"&lt;=74")</f>
        <v>0</v>
      </c>
      <c r="M130" s="4">
        <f>COUNTIFS('Participant Responses'!$S$2:$S$1000,"?amil*",'Participant Responses'!$B$2:$B$1000,"&gt;=75",'Participant Responses'!$B$2:$B$1000,"&lt;=84")</f>
        <v>0</v>
      </c>
      <c r="N130" s="4">
        <f>COUNTIFS('Participant Responses'!$S$2:$S$1000,"?amil*",'Participant Responses'!$B$2:$B$1000,"&gt;85")</f>
        <v>0</v>
      </c>
    </row>
    <row r="132" spans="1:14" ht="60">
      <c r="A132" s="8" t="s">
        <v>70</v>
      </c>
      <c r="B132" s="11" t="s">
        <v>15</v>
      </c>
      <c r="C132" s="23" t="s">
        <v>2</v>
      </c>
      <c r="D132" s="24"/>
      <c r="E132" s="24" t="s">
        <v>5</v>
      </c>
      <c r="F132" s="24"/>
      <c r="G132" s="24"/>
      <c r="H132" s="24"/>
      <c r="I132" s="24"/>
      <c r="J132" s="24"/>
      <c r="K132" s="24"/>
      <c r="L132" s="24"/>
      <c r="M132" s="24"/>
      <c r="N132" s="24"/>
    </row>
    <row r="133" spans="1:14">
      <c r="A133" s="3"/>
      <c r="B133" s="13"/>
      <c r="C133" s="7" t="s">
        <v>13</v>
      </c>
      <c r="D133" s="4" t="s">
        <v>14</v>
      </c>
      <c r="E133" s="3" t="s">
        <v>6</v>
      </c>
      <c r="F133" s="3" t="s">
        <v>17</v>
      </c>
      <c r="G133" s="3" t="s">
        <v>7</v>
      </c>
      <c r="H133" s="3" t="s">
        <v>8</v>
      </c>
      <c r="I133" s="3" t="s">
        <v>9</v>
      </c>
      <c r="J133" s="3" t="s">
        <v>10</v>
      </c>
      <c r="K133" s="3" t="s">
        <v>11</v>
      </c>
      <c r="L133" s="3" t="s">
        <v>18</v>
      </c>
      <c r="M133" s="3" t="s">
        <v>12</v>
      </c>
      <c r="N133" s="3" t="s">
        <v>16</v>
      </c>
    </row>
    <row r="134" spans="1:14">
      <c r="A134" s="9" t="s">
        <v>64</v>
      </c>
      <c r="B134" s="12">
        <f>COUNTIF('Participant Responses'!$T$2:$T$1000,"?hild*")</f>
        <v>0</v>
      </c>
      <c r="C134" s="10">
        <f>COUNTIFS('Participant Responses'!$T$2:$T$1000,"?hild*",'Participant Responses'!$C$2:$C$1000,"m")</f>
        <v>0</v>
      </c>
      <c r="D134" s="4">
        <f>COUNTIFS('Participant Responses'!$T$2:$T$1000,"?hild*",'Participant Responses'!$C$2:$C$1000,"f")</f>
        <v>0</v>
      </c>
      <c r="E134" s="5">
        <f>COUNTIFS('Participant Responses'!$T$2:$T$1000,"?hild*",'Participant Responses'!$B$2:$B$1000,"&lt;=4")</f>
        <v>0</v>
      </c>
      <c r="F134" s="4">
        <f>COUNTIFS('Participant Responses'!$T$2:$T$1000,"?hild*",'Participant Responses'!$B$2:$B$1000,"&gt;=5",'Participant Responses'!$B$2:$B$1000,"&lt;=14")</f>
        <v>0</v>
      </c>
      <c r="G134" s="4">
        <f>COUNTIFS('Participant Responses'!$T$2:$T$1000,"?hild*",'Participant Responses'!$B$2:$B$1000,"&gt;=15",'Participant Responses'!$B$2:$B$1000,"&lt;=19")</f>
        <v>0</v>
      </c>
      <c r="H134" s="4">
        <f>COUNTIFS('Participant Responses'!$T$2:$T$1000,"?hild*",'Participant Responses'!$B$2:$B$1000,"&gt;=20",'Participant Responses'!$B$2:$B$1000,"&lt;=24")</f>
        <v>0</v>
      </c>
      <c r="I134" s="4">
        <f>COUNTIFS('Participant Responses'!$T$2:$T$1000,"?hild*",'Participant Responses'!$B$2:$B$1000,"&gt;=25",'Participant Responses'!$B$2:$B$1000,"&lt;=44")</f>
        <v>0</v>
      </c>
      <c r="J134" s="4">
        <f>COUNTIFS('Participant Responses'!$T$2:$T$1000,"?hild*",'Participant Responses'!$B$2:$B$1000,"&gt;=45",'Participant Responses'!$B$2:$B$1000,"&lt;=54")</f>
        <v>0</v>
      </c>
      <c r="K134" s="4">
        <f>COUNTIFS('Participant Responses'!$T$2:$T$1000,"?hild*",'Participant Responses'!$B$2:$B$1000,"&gt;=55",'Participant Responses'!$B$2:$B$1000,"&lt;=64")</f>
        <v>0</v>
      </c>
      <c r="L134" s="4">
        <f>COUNTIFS('Participant Responses'!$T$2:$T$1000,"?hild*",'Participant Responses'!$B$2:$B$1000,"&gt;=65",'Participant Responses'!$B$2:$B$1000,"&lt;=74")</f>
        <v>0</v>
      </c>
      <c r="M134" s="4">
        <f>COUNTIFS('Participant Responses'!$T$2:$T$1000,"?hild*",'Participant Responses'!$B$2:$B$1000,"&gt;=75",'Participant Responses'!$B$2:$B$1000,"&lt;=84")</f>
        <v>0</v>
      </c>
      <c r="N134" s="4">
        <f>COUNTIFS('Participant Responses'!$T$2:$T$1000,"?hild*",'Participant Responses'!$B$2:$B$1000,"&gt;=85")</f>
        <v>0</v>
      </c>
    </row>
    <row r="135" spans="1:14">
      <c r="A135" s="3" t="s">
        <v>65</v>
      </c>
      <c r="B135" s="13">
        <f>COUNTIF('Participant Responses'!$T$2:$T$1000,"?een*")</f>
        <v>0</v>
      </c>
      <c r="C135" s="7">
        <f>COUNTIFS('Participant Responses'!$T$2:$T$1000,"?een*",'Participant Responses'!$C$2:$C$1000,"m")</f>
        <v>0</v>
      </c>
      <c r="D135" s="4">
        <f>COUNTIFS('Participant Responses'!$T$2:$T$1000,"?een*",'Participant Responses'!$C$2:$C$1000,"f")</f>
        <v>0</v>
      </c>
      <c r="E135" s="4">
        <f>COUNTIFS('Participant Responses'!$T$2:$T$1000,"?een*",'Participant Responses'!$B$2:$B$1000,"&lt;=4")</f>
        <v>0</v>
      </c>
      <c r="F135" s="4">
        <f>COUNTIFS('Participant Responses'!$T$2:$T$1000,"?een*",'Participant Responses'!$B$2:$B$1000,"&gt;=5",'Participant Responses'!$B$2:$B$1000,"&lt;=14")</f>
        <v>0</v>
      </c>
      <c r="G135" s="4">
        <f>COUNTIFS('Participant Responses'!$T$2:$T$1000,"?een*",'Participant Responses'!$B$2:$B$1000,"&gt;=15",'Participant Responses'!$B$2:$B$1000,"&lt;=19")</f>
        <v>0</v>
      </c>
      <c r="H135" s="4">
        <f>COUNTIFS('Participant Responses'!$T$2:$T$1000,"?een*",'Participant Responses'!$B$2:$B$1000,"&gt;=20",'Participant Responses'!$B$2:$B$1000,"&lt;=24")</f>
        <v>0</v>
      </c>
      <c r="I135" s="4">
        <f>COUNTIFS('Participant Responses'!$T$2:$T$1000,"?een*",'Participant Responses'!$B$2:$B$1000,"&gt;=25",'Participant Responses'!$B$2:$B$1000,"&lt;=44")</f>
        <v>0</v>
      </c>
      <c r="J135" s="4">
        <f>COUNTIFS('Participant Responses'!$T$2:$T$1000,"?een*",'Participant Responses'!$B$2:$B$1000,"&gt;=45",'Participant Responses'!$B$2:$B$1000,"&lt;=54")</f>
        <v>0</v>
      </c>
      <c r="K135" s="4">
        <f>COUNTIFS('Participant Responses'!$T$2:$T$1000,"?een*",'Participant Responses'!$B$2:$B$1000,"&gt;=55",'Participant Responses'!$B$2:$B$1000,"&lt;=64")</f>
        <v>0</v>
      </c>
      <c r="L135" s="4">
        <f>COUNTIFS('Participant Responses'!$T$2:$T$1000,"?een*",'Participant Responses'!$B$2:$B$1000,"&gt;=65",'Participant Responses'!$B$2:$B$1000,"&lt;=74")</f>
        <v>0</v>
      </c>
      <c r="M135" s="4">
        <f>COUNTIFS('Participant Responses'!$T$2:$T$1000,"?een*",'Participant Responses'!$B$2:$B$1000,"&gt;=75",'Participant Responses'!$B$2:$B$1000,"&lt;=84")</f>
        <v>0</v>
      </c>
      <c r="N135" s="4">
        <f>COUNTIFS('Participant Responses'!$T$2:$T$1000,"?een*",'Participant Responses'!$B$2:$B$1000,"&gt;85")</f>
        <v>0</v>
      </c>
    </row>
    <row r="136" spans="1:14">
      <c r="A136" s="3" t="s">
        <v>19</v>
      </c>
      <c r="B136" s="13">
        <f>COUNTIF('Participant Responses'!$T$2:$T$1000,"?lder*")</f>
        <v>0</v>
      </c>
      <c r="C136" s="7">
        <f>COUNTIFS('Participant Responses'!$T$2:$T$1000,"?lder*",'Participant Responses'!$C$2:$C$1000,"m")</f>
        <v>0</v>
      </c>
      <c r="D136" s="4">
        <f>COUNTIFS('Participant Responses'!$T$2:$T$1000,"?lder*",'Participant Responses'!$C$2:$C$1000,"f")</f>
        <v>0</v>
      </c>
      <c r="E136" s="4">
        <f>COUNTIFS('Participant Responses'!$T$2:$T$1000,"?lder*",'Participant Responses'!$B$2:$B$1000,"&lt;=4")</f>
        <v>0</v>
      </c>
      <c r="F136" s="4">
        <f>COUNTIFS('Participant Responses'!$T$2:$T$1000,"?lder*",'Participant Responses'!$B$2:$B$1000,"&gt;=5",'Participant Responses'!$B$2:$B$1000,"&lt;=14")</f>
        <v>0</v>
      </c>
      <c r="G136" s="4">
        <f>COUNTIFS('Participant Responses'!$T$2:$T$1000,"?lder*",'Participant Responses'!$B$2:$B$1000,"&gt;=15",'Participant Responses'!$B$2:$B$1000,"&lt;=19")</f>
        <v>0</v>
      </c>
      <c r="H136" s="4">
        <f>COUNTIFS('Participant Responses'!$T$2:$T$1000,"?lder*",'Participant Responses'!$B$2:$B$1000,"&gt;=20",'Participant Responses'!$B$2:$B$1000,"&lt;=24")</f>
        <v>0</v>
      </c>
      <c r="I136" s="4">
        <f>COUNTIFS('Participant Responses'!$T$2:$T$1000,"?lder*",'Participant Responses'!$B$2:$B$1000,"&gt;=25",'Participant Responses'!$B$2:$B$1000,"&lt;=44")</f>
        <v>0</v>
      </c>
      <c r="J136" s="4">
        <f>COUNTIFS('Participant Responses'!$T$2:$T$1000,"?lder*",'Participant Responses'!$B$2:$B$1000,"&gt;=45",'Participant Responses'!$B$2:$B$1000,"&lt;=54")</f>
        <v>0</v>
      </c>
      <c r="K136" s="4">
        <f>COUNTIFS('Participant Responses'!$T$2:$T$1000,"?lder*",'Participant Responses'!$B$2:$B$1000,"&gt;=55",'Participant Responses'!$B$2:$B$1000,"&lt;=64")</f>
        <v>0</v>
      </c>
      <c r="L136" s="4">
        <f>COUNTIFS('Participant Responses'!$T$2:$T$1000,"?lder*",'Participant Responses'!$B$2:$B$1000,"&gt;=65",'Participant Responses'!$B$2:$B$1000,"&lt;=74")</f>
        <v>0</v>
      </c>
      <c r="M136" s="4">
        <f>COUNTIFS('Participant Responses'!$T$2:$T$1000,"?lder*",'Participant Responses'!$B$2:$B$1000,"&gt;=75",'Participant Responses'!$B$2:$B$1000,"&lt;=84")</f>
        <v>0</v>
      </c>
      <c r="N136" s="4">
        <f>COUNTIFS('Participant Responses'!$T$2:$T$1000,"?lder*",'Participant Responses'!$B$2:$B$1000,"&gt;85")</f>
        <v>0</v>
      </c>
    </row>
    <row r="137" spans="1:14">
      <c r="A137" s="3" t="s">
        <v>66</v>
      </c>
      <c r="B137" s="13">
        <f>COUNTIF('Participant Responses'!$T$2:$T$1000,"?tudent*")</f>
        <v>0</v>
      </c>
      <c r="C137" s="7">
        <f>COUNTIFS('Participant Responses'!$T$2:$T$1000,"?tudent*",'Participant Responses'!$C$2:$C$1000,"m")</f>
        <v>0</v>
      </c>
      <c r="D137" s="4">
        <f>COUNTIFS('Participant Responses'!$T$2:$T$1000,"?tudent*",'Participant Responses'!$C$2:$C$1000,"f")</f>
        <v>0</v>
      </c>
      <c r="E137" s="4">
        <f>COUNTIFS('Participant Responses'!$T$2:$T$1000,"?tudent*",'Participant Responses'!$B$2:$B$1000,"&lt;=4")</f>
        <v>0</v>
      </c>
      <c r="F137" s="4">
        <f>COUNTIFS('Participant Responses'!$T$2:$T$1000,"?tudent*",'Participant Responses'!$B$2:$B$1000,"&gt;=5",'Participant Responses'!$B$2:$B$1000,"&lt;=14")</f>
        <v>0</v>
      </c>
      <c r="G137" s="4">
        <f>COUNTIFS('Participant Responses'!$T$2:$T$1000,"?tudent*",'Participant Responses'!$B$2:$B$1000,"&gt;=15",'Participant Responses'!$B$2:$B$1000,"&lt;=19")</f>
        <v>0</v>
      </c>
      <c r="H137" s="4">
        <f>COUNTIFS('Participant Responses'!$T$2:$T$1000,"?tudent*",'Participant Responses'!$B$2:$B$1000,"&gt;=20",'Participant Responses'!$B$2:$B$1000,"&lt;=24")</f>
        <v>0</v>
      </c>
      <c r="I137" s="4">
        <f>COUNTIFS('Participant Responses'!$T$2:$T$1000,"?tudent*",'Participant Responses'!$B$2:$B$1000,"&gt;=25",'Participant Responses'!$B$2:$B$1000,"&lt;=44")</f>
        <v>0</v>
      </c>
      <c r="J137" s="4">
        <f>COUNTIFS('Participant Responses'!$T$2:$T$1000,"?tudent*",'Participant Responses'!$B$2:$B$1000,"&gt;=45",'Participant Responses'!$B$2:$B$1000,"&lt;=54")</f>
        <v>0</v>
      </c>
      <c r="K137" s="4">
        <f>COUNTIFS('Participant Responses'!$T$2:$T$1000,"?tudent*",'Participant Responses'!$B$2:$B$1000,"&gt;=55",'Participant Responses'!$B$2:$B$1000,"&lt;=64")</f>
        <v>0</v>
      </c>
      <c r="L137" s="4">
        <f>COUNTIFS('Participant Responses'!$T$2:$T$1000,"?tudent*",'Participant Responses'!$B$2:$B$1000,"&gt;=65",'Participant Responses'!$B$2:$B$1000,"&lt;=74")</f>
        <v>0</v>
      </c>
      <c r="M137" s="4">
        <f>COUNTIFS('Participant Responses'!$T$2:$T$1000,"?tudent*",'Participant Responses'!$B$2:$B$1000,"&gt;=75",'Participant Responses'!$B$2:$B$1000,"&lt;=84")</f>
        <v>0</v>
      </c>
      <c r="N137" s="4">
        <f>COUNTIFS('Participant Responses'!$T$2:$T$1000,"?tudent*",'Participant Responses'!$B$2:$B$1000,"&gt;85")</f>
        <v>0</v>
      </c>
    </row>
    <row r="138" spans="1:14">
      <c r="A138" s="3" t="s">
        <v>67</v>
      </c>
      <c r="B138" s="13">
        <f>COUNTIF('Participant Responses'!$T$2:$T$1000,"?amil*")</f>
        <v>0</v>
      </c>
      <c r="C138" s="7">
        <f>COUNTIFS('Participant Responses'!$T$2:$T$1000,"?amil*",'Participant Responses'!$C$2:$C$1000,"m")</f>
        <v>0</v>
      </c>
      <c r="D138" s="4">
        <f>COUNTIFS('Participant Responses'!$T$2:$T$1000,"?amil*",'Participant Responses'!$C$2:$C$1000,"f")</f>
        <v>0</v>
      </c>
      <c r="E138" s="4">
        <f>COUNTIFS('Participant Responses'!$T$2:$T$1000,"?amil*",'Participant Responses'!$B$2:$B$1000,"&lt;=4")</f>
        <v>0</v>
      </c>
      <c r="F138" s="4">
        <f>COUNTIFS('Participant Responses'!$T$2:$T$1000,"?amil*",'Participant Responses'!$B$2:$B$1000,"&gt;=5",'Participant Responses'!$B$2:$B$1000,"&lt;=14")</f>
        <v>0</v>
      </c>
      <c r="G138" s="4">
        <f>COUNTIFS('Participant Responses'!$T$2:$T$1000,"?amil*",'Participant Responses'!$B$2:$B$1000,"&gt;=15",'Participant Responses'!$B$2:$B$1000,"&lt;=19")</f>
        <v>0</v>
      </c>
      <c r="H138" s="4">
        <f>COUNTIFS('Participant Responses'!$T$2:$T$1000,"?amil*",'Participant Responses'!$B$2:$B$1000,"&gt;=20",'Participant Responses'!$B$2:$B$1000,"&lt;=24")</f>
        <v>0</v>
      </c>
      <c r="I138" s="4">
        <f>COUNTIFS('Participant Responses'!$T$2:$T$1000,"?amil*",'Participant Responses'!$B$2:$B$1000,"&gt;=25",'Participant Responses'!$B$2:$B$1000,"&lt;=44")</f>
        <v>0</v>
      </c>
      <c r="J138" s="4">
        <f>COUNTIFS('Participant Responses'!$T$2:$T$1000,"?amil*",'Participant Responses'!$B$2:$B$1000,"&gt;=45",'Participant Responses'!$B$2:$B$1000,"&lt;=54")</f>
        <v>0</v>
      </c>
      <c r="K138" s="4">
        <f>COUNTIFS('Participant Responses'!$T$2:$T$1000,"?amil*",'Participant Responses'!$B$2:$B$1000,"&gt;=55",'Participant Responses'!$B$2:$B$1000,"&lt;=64")</f>
        <v>0</v>
      </c>
      <c r="L138" s="4">
        <f>COUNTIFS('Participant Responses'!$T$2:$T$1000,"?amil*",'Participant Responses'!$B$2:$B$1000,"&gt;=65",'Participant Responses'!$B$2:$B$1000,"&lt;=74")</f>
        <v>0</v>
      </c>
      <c r="M138" s="4">
        <f>COUNTIFS('Participant Responses'!$T$2:$T$1000,"?amil*",'Participant Responses'!$B$2:$B$1000,"&gt;=75",'Participant Responses'!$B$2:$B$1000,"&lt;=84")</f>
        <v>0</v>
      </c>
      <c r="N138" s="4">
        <f>COUNTIFS('Participant Responses'!$T$2:$T$1000,"?amil*",'Participant Responses'!$B$2:$B$1000,"&gt;85")</f>
        <v>0</v>
      </c>
    </row>
    <row r="140" spans="1:14" ht="60">
      <c r="A140" s="8" t="s">
        <v>71</v>
      </c>
      <c r="B140" s="11" t="s">
        <v>15</v>
      </c>
      <c r="C140" s="23" t="s">
        <v>2</v>
      </c>
      <c r="D140" s="24"/>
      <c r="E140" s="24" t="s">
        <v>5</v>
      </c>
      <c r="F140" s="24"/>
      <c r="G140" s="24"/>
      <c r="H140" s="24"/>
      <c r="I140" s="24"/>
      <c r="J140" s="24"/>
      <c r="K140" s="24"/>
      <c r="L140" s="24"/>
      <c r="M140" s="24"/>
      <c r="N140" s="24"/>
    </row>
    <row r="141" spans="1:14">
      <c r="A141" s="3"/>
      <c r="B141" s="13"/>
      <c r="C141" s="7" t="s">
        <v>13</v>
      </c>
      <c r="D141" s="4" t="s">
        <v>14</v>
      </c>
      <c r="E141" s="3" t="s">
        <v>6</v>
      </c>
      <c r="F141" s="3" t="s">
        <v>17</v>
      </c>
      <c r="G141" s="3" t="s">
        <v>7</v>
      </c>
      <c r="H141" s="3" t="s">
        <v>8</v>
      </c>
      <c r="I141" s="3" t="s">
        <v>9</v>
      </c>
      <c r="J141" s="3" t="s">
        <v>10</v>
      </c>
      <c r="K141" s="3" t="s">
        <v>11</v>
      </c>
      <c r="L141" s="3" t="s">
        <v>18</v>
      </c>
      <c r="M141" s="3" t="s">
        <v>12</v>
      </c>
      <c r="N141" s="3" t="s">
        <v>16</v>
      </c>
    </row>
    <row r="142" spans="1:14">
      <c r="A142" s="9" t="s">
        <v>64</v>
      </c>
      <c r="B142" s="12">
        <f>COUNTIF('Participant Responses'!$U$2:$U$1000,"?hild*")</f>
        <v>0</v>
      </c>
      <c r="C142" s="10">
        <f>COUNTIFS('Participant Responses'!$U$2:$U$1000,"?hild*",'Participant Responses'!$C$2:$C$1000,"m")</f>
        <v>0</v>
      </c>
      <c r="D142" s="4">
        <f>COUNTIFS('Participant Responses'!$U$2:$U$1000,"?hild*",'Participant Responses'!$C$2:$C$1000,"f")</f>
        <v>0</v>
      </c>
      <c r="E142" s="5">
        <f>COUNTIFS('Participant Responses'!$U$2:$U$1000,"?hild*",'Participant Responses'!$B$2:$B$1000,"&lt;=4")</f>
        <v>0</v>
      </c>
      <c r="F142" s="4">
        <f>COUNTIFS('Participant Responses'!$U$2:$U$1000,"?hild*",'Participant Responses'!$B$2:$B$1000,"&gt;=5",'Participant Responses'!$B$2:$B$1000,"&lt;=14")</f>
        <v>0</v>
      </c>
      <c r="G142" s="4">
        <f>COUNTIFS('Participant Responses'!$U$2:$U$1000,"?hild*",'Participant Responses'!$B$2:$B$1000,"&gt;=15",'Participant Responses'!$B$2:$B$1000,"&lt;=19")</f>
        <v>0</v>
      </c>
      <c r="H142" s="4">
        <f>COUNTIFS('Participant Responses'!$U$2:$U$1000,"?hild*",'Participant Responses'!$B$2:$B$1000,"&gt;=20",'Participant Responses'!$B$2:$B$1000,"&lt;=24")</f>
        <v>0</v>
      </c>
      <c r="I142" s="4">
        <f>COUNTIFS('Participant Responses'!$U$2:$U$1000,"?hild*",'Participant Responses'!$B$2:$B$1000,"&gt;=25",'Participant Responses'!$B$2:$B$1000,"&lt;=44")</f>
        <v>0</v>
      </c>
      <c r="J142" s="4">
        <f>COUNTIFS('Participant Responses'!$U$2:$U$1000,"?hild*",'Participant Responses'!$B$2:$B$1000,"&gt;=45",'Participant Responses'!$B$2:$B$1000,"&lt;=54")</f>
        <v>0</v>
      </c>
      <c r="K142" s="4">
        <f>COUNTIFS('Participant Responses'!$U$2:$U$1000,"?hild*",'Participant Responses'!$B$2:$B$1000,"&gt;=55",'Participant Responses'!$B$2:$B$1000,"&lt;=64")</f>
        <v>0</v>
      </c>
      <c r="L142" s="4">
        <f>COUNTIFS('Participant Responses'!$U$2:$U$1000,"?hild*",'Participant Responses'!$B$2:$B$1000,"&gt;=65",'Participant Responses'!$B$2:$B$1000,"&lt;=74")</f>
        <v>0</v>
      </c>
      <c r="M142" s="4">
        <f>COUNTIFS('Participant Responses'!$U$2:$U$1000,"?hild*",'Participant Responses'!$B$2:$B$1000,"&gt;=75",'Participant Responses'!$B$2:$B$1000,"&lt;=84")</f>
        <v>0</v>
      </c>
      <c r="N142" s="4">
        <f>COUNTIFS('Participant Responses'!$U$2:$U$1000,"?hild*",'Participant Responses'!$B$2:$B$1000,"&gt;=85")</f>
        <v>0</v>
      </c>
    </row>
    <row r="143" spans="1:14">
      <c r="A143" s="3" t="s">
        <v>65</v>
      </c>
      <c r="B143" s="13">
        <f>COUNTIF('Participant Responses'!$U$2:$U$1000,"?een*")</f>
        <v>0</v>
      </c>
      <c r="C143" s="7">
        <f>COUNTIFS('Participant Responses'!$U$2:$U$1000,"?een*",'Participant Responses'!$C$2:$C$1000,"m")</f>
        <v>0</v>
      </c>
      <c r="D143" s="4">
        <f>COUNTIFS('Participant Responses'!$U$2:$U$1000,"?een*",'Participant Responses'!$C$2:$C$1000,"f")</f>
        <v>0</v>
      </c>
      <c r="E143" s="4">
        <f>COUNTIFS('Participant Responses'!$U$2:$U$1000,"?een*",'Participant Responses'!$B$2:$B$1000,"&lt;=4")</f>
        <v>0</v>
      </c>
      <c r="F143" s="4">
        <f>COUNTIFS('Participant Responses'!$U$2:$U$1000,"?een*",'Participant Responses'!$B$2:$B$1000,"&gt;=5",'Participant Responses'!$B$2:$B$1000,"&lt;=14")</f>
        <v>0</v>
      </c>
      <c r="G143" s="4">
        <f>COUNTIFS('Participant Responses'!$U$2:$U$1000,"?een*",'Participant Responses'!$B$2:$B$1000,"&gt;=15",'Participant Responses'!$B$2:$B$1000,"&lt;=19")</f>
        <v>0</v>
      </c>
      <c r="H143" s="4">
        <f>COUNTIFS('Participant Responses'!$U$2:$U$1000,"?een*",'Participant Responses'!$B$2:$B$1000,"&gt;=20",'Participant Responses'!$B$2:$B$1000,"&lt;=24")</f>
        <v>0</v>
      </c>
      <c r="I143" s="4">
        <f>COUNTIFS('Participant Responses'!$U$2:$U$1000,"?een*",'Participant Responses'!$B$2:$B$1000,"&gt;=25",'Participant Responses'!$B$2:$B$1000,"&lt;=44")</f>
        <v>0</v>
      </c>
      <c r="J143" s="4">
        <f>COUNTIFS('Participant Responses'!$U$2:$U$1000,"?een*",'Participant Responses'!$B$2:$B$1000,"&gt;=45",'Participant Responses'!$B$2:$B$1000,"&lt;=54")</f>
        <v>0</v>
      </c>
      <c r="K143" s="4">
        <f>COUNTIFS('Participant Responses'!$U$2:$U$1000,"?een*",'Participant Responses'!$B$2:$B$1000,"&gt;=55",'Participant Responses'!$B$2:$B$1000,"&lt;=64")</f>
        <v>0</v>
      </c>
      <c r="L143" s="4">
        <f>COUNTIFS('Participant Responses'!$U$2:$U$1000,"?een*",'Participant Responses'!$B$2:$B$1000,"&gt;=65",'Participant Responses'!$B$2:$B$1000,"&lt;=74")</f>
        <v>0</v>
      </c>
      <c r="M143" s="4">
        <f>COUNTIFS('Participant Responses'!$U$2:$U$1000,"?een*",'Participant Responses'!$B$2:$B$1000,"&gt;=75",'Participant Responses'!$B$2:$B$1000,"&lt;=84")</f>
        <v>0</v>
      </c>
      <c r="N143" s="4">
        <f>COUNTIFS('Participant Responses'!$U$2:$U$1000,"?een*",'Participant Responses'!$B$2:$B$1000,"&gt;85")</f>
        <v>0</v>
      </c>
    </row>
    <row r="144" spans="1:14">
      <c r="A144" s="3" t="s">
        <v>19</v>
      </c>
      <c r="B144" s="13">
        <f>COUNTIF('Participant Responses'!$U$2:$U$1000,"?lder*")</f>
        <v>0</v>
      </c>
      <c r="C144" s="7">
        <f>COUNTIFS('Participant Responses'!$U$2:$U$1000,"?lder*",'Participant Responses'!$C$2:$C$1000,"m")</f>
        <v>0</v>
      </c>
      <c r="D144" s="4">
        <f>COUNTIFS('Participant Responses'!$U$2:$U$1000,"?lder*",'Participant Responses'!$C$2:$C$1000,"f")</f>
        <v>0</v>
      </c>
      <c r="E144" s="4">
        <f>COUNTIFS('Participant Responses'!$U$2:$U$1000,"?lder*",'Participant Responses'!$B$2:$B$1000,"&lt;=4")</f>
        <v>0</v>
      </c>
      <c r="F144" s="4">
        <f>COUNTIFS('Participant Responses'!$U$2:$U$1000,"?lder*",'Participant Responses'!$B$2:$B$1000,"&gt;=5",'Participant Responses'!$B$2:$B$1000,"&lt;=14")</f>
        <v>0</v>
      </c>
      <c r="G144" s="4">
        <f>COUNTIFS('Participant Responses'!$U$2:$U$1000,"?lder*",'Participant Responses'!$B$2:$B$1000,"&gt;=15",'Participant Responses'!$B$2:$B$1000,"&lt;=19")</f>
        <v>0</v>
      </c>
      <c r="H144" s="4">
        <f>COUNTIFS('Participant Responses'!$U$2:$U$1000,"?lder*",'Participant Responses'!$B$2:$B$1000,"&gt;=20",'Participant Responses'!$B$2:$B$1000,"&lt;=24")</f>
        <v>0</v>
      </c>
      <c r="I144" s="4">
        <f>COUNTIFS('Participant Responses'!$U$2:$U$1000,"?lder*",'Participant Responses'!$B$2:$B$1000,"&gt;=25",'Participant Responses'!$B$2:$B$1000,"&lt;=44")</f>
        <v>0</v>
      </c>
      <c r="J144" s="4">
        <f>COUNTIFS('Participant Responses'!$U$2:$U$1000,"?lder*",'Participant Responses'!$B$2:$B$1000,"&gt;=45",'Participant Responses'!$B$2:$B$1000,"&lt;=54")</f>
        <v>0</v>
      </c>
      <c r="K144" s="4">
        <f>COUNTIFS('Participant Responses'!$U$2:$U$1000,"?lder*",'Participant Responses'!$B$2:$B$1000,"&gt;=55",'Participant Responses'!$B$2:$B$1000,"&lt;=64")</f>
        <v>0</v>
      </c>
      <c r="L144" s="4">
        <f>COUNTIFS('Participant Responses'!$U$2:$U$1000,"?lder*",'Participant Responses'!$B$2:$B$1000,"&gt;=65",'Participant Responses'!$B$2:$B$1000,"&lt;=74")</f>
        <v>0</v>
      </c>
      <c r="M144" s="4">
        <f>COUNTIFS('Participant Responses'!$U$2:$U$1000,"?lder*",'Participant Responses'!$B$2:$B$1000,"&gt;=75",'Participant Responses'!$B$2:$B$1000,"&lt;=84")</f>
        <v>0</v>
      </c>
      <c r="N144" s="4">
        <f>COUNTIFS('Participant Responses'!$U$2:$U$1000,"?lder*",'Participant Responses'!$B$2:$B$1000,"&gt;85")</f>
        <v>0</v>
      </c>
    </row>
    <row r="145" spans="1:14">
      <c r="A145" s="3" t="s">
        <v>66</v>
      </c>
      <c r="B145" s="13">
        <f>COUNTIF('Participant Responses'!$U$2:$U$1000,"?tudent*")</f>
        <v>0</v>
      </c>
      <c r="C145" s="7">
        <f>COUNTIFS('Participant Responses'!$U$2:$U$1000,"?tudent*",'Participant Responses'!$C$2:$C$1000,"m")</f>
        <v>0</v>
      </c>
      <c r="D145" s="4">
        <f>COUNTIFS('Participant Responses'!$U$2:$U$1000,"?tudent*",'Participant Responses'!$C$2:$C$1000,"f")</f>
        <v>0</v>
      </c>
      <c r="E145" s="4">
        <f>COUNTIFS('Participant Responses'!$U$2:$U$1000,"?tudent*",'Participant Responses'!$B$2:$B$1000,"&lt;=4")</f>
        <v>0</v>
      </c>
      <c r="F145" s="4">
        <f>COUNTIFS('Participant Responses'!$U$2:$U$1000,"?tudent*",'Participant Responses'!$B$2:$B$1000,"&gt;=5",'Participant Responses'!$B$2:$B$1000,"&lt;=14")</f>
        <v>0</v>
      </c>
      <c r="G145" s="4">
        <f>COUNTIFS('Participant Responses'!$U$2:$U$1000,"?tudent*",'Participant Responses'!$B$2:$B$1000,"&gt;=15",'Participant Responses'!$B$2:$B$1000,"&lt;=19")</f>
        <v>0</v>
      </c>
      <c r="H145" s="4">
        <f>COUNTIFS('Participant Responses'!$U$2:$U$1000,"?tudent*",'Participant Responses'!$B$2:$B$1000,"&gt;=20",'Participant Responses'!$B$2:$B$1000,"&lt;=24")</f>
        <v>0</v>
      </c>
      <c r="I145" s="4">
        <f>COUNTIFS('Participant Responses'!$U$2:$U$1000,"?tudent*",'Participant Responses'!$B$2:$B$1000,"&gt;=25",'Participant Responses'!$B$2:$B$1000,"&lt;=44")</f>
        <v>0</v>
      </c>
      <c r="J145" s="4">
        <f>COUNTIFS('Participant Responses'!$U$2:$U$1000,"?tudent*",'Participant Responses'!$B$2:$B$1000,"&gt;=45",'Participant Responses'!$B$2:$B$1000,"&lt;=54")</f>
        <v>0</v>
      </c>
      <c r="K145" s="4">
        <f>COUNTIFS('Participant Responses'!$U$2:$U$1000,"?tudent*",'Participant Responses'!$B$2:$B$1000,"&gt;=55",'Participant Responses'!$B$2:$B$1000,"&lt;=64")</f>
        <v>0</v>
      </c>
      <c r="L145" s="4">
        <f>COUNTIFS('Participant Responses'!$U$2:$U$1000,"?tudent*",'Participant Responses'!$B$2:$B$1000,"&gt;=65",'Participant Responses'!$B$2:$B$1000,"&lt;=74")</f>
        <v>0</v>
      </c>
      <c r="M145" s="4">
        <f>COUNTIFS('Participant Responses'!$U$2:$U$1000,"?tudent*",'Participant Responses'!$B$2:$B$1000,"&gt;=75",'Participant Responses'!$B$2:$B$1000,"&lt;=84")</f>
        <v>0</v>
      </c>
      <c r="N145" s="4">
        <f>COUNTIFS('Participant Responses'!$U$2:$U$1000,"?tudent*",'Participant Responses'!$B$2:$B$1000,"&gt;85")</f>
        <v>0</v>
      </c>
    </row>
    <row r="146" spans="1:14">
      <c r="A146" s="3" t="s">
        <v>67</v>
      </c>
      <c r="B146" s="13">
        <f>COUNTIF('Participant Responses'!$U$2:$U$1000,"?amil*")</f>
        <v>0</v>
      </c>
      <c r="C146" s="7">
        <f>COUNTIFS('Participant Responses'!$U$2:$U$1000,"?amil*",'Participant Responses'!$C$2:$C$1000,"m")</f>
        <v>0</v>
      </c>
      <c r="D146" s="4">
        <f>COUNTIFS('Participant Responses'!$U$2:$U$1000,"?amil*",'Participant Responses'!$C$2:$C$1000,"f")</f>
        <v>0</v>
      </c>
      <c r="E146" s="4">
        <f>COUNTIFS('Participant Responses'!$U$2:$U$1000,"?amil*",'Participant Responses'!$B$2:$B$1000,"&lt;=4")</f>
        <v>0</v>
      </c>
      <c r="F146" s="4">
        <f>COUNTIFS('Participant Responses'!$U$2:$U$1000,"?amil*",'Participant Responses'!$B$2:$B$1000,"&gt;=5",'Participant Responses'!$B$2:$B$1000,"&lt;=14")</f>
        <v>0</v>
      </c>
      <c r="G146" s="4">
        <f>COUNTIFS('Participant Responses'!$U$2:$U$1000,"?amil*",'Participant Responses'!$B$2:$B$1000,"&gt;=15",'Participant Responses'!$B$2:$B$1000,"&lt;=19")</f>
        <v>0</v>
      </c>
      <c r="H146" s="4">
        <f>COUNTIFS('Participant Responses'!$U$2:$U$1000,"?amil*",'Participant Responses'!$B$2:$B$1000,"&gt;=20",'Participant Responses'!$B$2:$B$1000,"&lt;=24")</f>
        <v>0</v>
      </c>
      <c r="I146" s="4">
        <f>COUNTIFS('Participant Responses'!$U$2:$U$1000,"?amil*",'Participant Responses'!$B$2:$B$1000,"&gt;=25",'Participant Responses'!$B$2:$B$1000,"&lt;=44")</f>
        <v>0</v>
      </c>
      <c r="J146" s="4">
        <f>COUNTIFS('Participant Responses'!$U$2:$U$1000,"?amil*",'Participant Responses'!$B$2:$B$1000,"&gt;=45",'Participant Responses'!$B$2:$B$1000,"&lt;=54")</f>
        <v>0</v>
      </c>
      <c r="K146" s="4">
        <f>COUNTIFS('Participant Responses'!$U$2:$U$1000,"?amil*",'Participant Responses'!$B$2:$B$1000,"&gt;=55",'Participant Responses'!$B$2:$B$1000,"&lt;=64")</f>
        <v>0</v>
      </c>
      <c r="L146" s="4">
        <f>COUNTIFS('Participant Responses'!$U$2:$U$1000,"?amil*",'Participant Responses'!$B$2:$B$1000,"&gt;=65",'Participant Responses'!$B$2:$B$1000,"&lt;=74")</f>
        <v>0</v>
      </c>
      <c r="M146" s="4">
        <f>COUNTIFS('Participant Responses'!$U$2:$U$1000,"?amil*",'Participant Responses'!$B$2:$B$1000,"&gt;=75",'Participant Responses'!$B$2:$B$1000,"&lt;=84")</f>
        <v>0</v>
      </c>
      <c r="N146" s="4">
        <f>COUNTIFS('Participant Responses'!$U$2:$U$1000,"?amil*",'Participant Responses'!$B$2:$B$1000,"&gt;85")</f>
        <v>0</v>
      </c>
    </row>
    <row r="148" spans="1:14" ht="45">
      <c r="A148" s="8" t="s">
        <v>30</v>
      </c>
      <c r="B148" s="11" t="s">
        <v>15</v>
      </c>
      <c r="C148" s="23" t="s">
        <v>2</v>
      </c>
      <c r="D148" s="24"/>
      <c r="E148" s="24" t="s">
        <v>5</v>
      </c>
      <c r="F148" s="24"/>
      <c r="G148" s="24"/>
      <c r="H148" s="24"/>
      <c r="I148" s="24"/>
      <c r="J148" s="24"/>
      <c r="K148" s="24"/>
      <c r="L148" s="24"/>
      <c r="M148" s="24"/>
      <c r="N148" s="24"/>
    </row>
    <row r="149" spans="1:14">
      <c r="A149" s="3"/>
      <c r="B149" s="13"/>
      <c r="C149" s="7" t="s">
        <v>13</v>
      </c>
      <c r="D149" s="4" t="s">
        <v>14</v>
      </c>
      <c r="E149" s="3" t="s">
        <v>6</v>
      </c>
      <c r="F149" s="3" t="s">
        <v>17</v>
      </c>
      <c r="G149" s="3" t="s">
        <v>7</v>
      </c>
      <c r="H149" s="3" t="s">
        <v>8</v>
      </c>
      <c r="I149" s="3" t="s">
        <v>9</v>
      </c>
      <c r="J149" s="3" t="s">
        <v>10</v>
      </c>
      <c r="K149" s="3" t="s">
        <v>11</v>
      </c>
      <c r="L149" s="3" t="s">
        <v>18</v>
      </c>
      <c r="M149" s="3" t="s">
        <v>12</v>
      </c>
      <c r="N149" s="3" t="s">
        <v>16</v>
      </c>
    </row>
    <row r="150" spans="1:14">
      <c r="A150" s="9" t="s">
        <v>47</v>
      </c>
      <c r="B150" s="12">
        <f>COUNTIF('Participant Responses'!$V$2:$V$1000,"1")</f>
        <v>0</v>
      </c>
      <c r="C150" s="10">
        <f>COUNTIFS('Participant Responses'!$V$2:$V$1000,"1",'Participant Responses'!$C$2:$C$1000,"m")</f>
        <v>0</v>
      </c>
      <c r="D150" s="4">
        <f>COUNTIFS('Participant Responses'!$V$2:$V$1000,"1",'Participant Responses'!$C$2:$C$1000,"f")</f>
        <v>0</v>
      </c>
      <c r="E150" s="5">
        <f>COUNTIFS('Participant Responses'!$V$2:$V$1000,"1",'Participant Responses'!$B$2:$B$1000,"&lt;=4")</f>
        <v>0</v>
      </c>
      <c r="F150" s="4">
        <f>COUNTIFS('Participant Responses'!$V$2:$V$1000,"1",'Participant Responses'!$B$2:$B$1000,"&gt;=5",'Participant Responses'!$B$2:$B$1000,"&lt;=14")</f>
        <v>0</v>
      </c>
      <c r="G150" s="4">
        <f>COUNTIFS('Participant Responses'!$V$2:$V$1000,"1",'Participant Responses'!$B$2:$B$1000,"&gt;=15",'Participant Responses'!$B$2:$B$1000,"&lt;=19")</f>
        <v>0</v>
      </c>
      <c r="H150" s="4">
        <f>COUNTIFS('Participant Responses'!$V$2:$V$1000,"1",'Participant Responses'!$B$2:$B$1000,"&gt;=20",'Participant Responses'!$B$2:$B$1000,"&lt;=24")</f>
        <v>0</v>
      </c>
      <c r="I150" s="4">
        <f>COUNTIFS('Participant Responses'!$V$2:$V$1000,"1",'Participant Responses'!$B$2:$B$1000,"&gt;=25",'Participant Responses'!$B$2:$B$1000,"&lt;=44")</f>
        <v>0</v>
      </c>
      <c r="J150" s="4">
        <f>COUNTIFS('Participant Responses'!$V$2:$V$1000,"1",'Participant Responses'!$B$2:$B$1000,"&gt;=45",'Participant Responses'!$B$2:$B$1000,"&lt;=54")</f>
        <v>0</v>
      </c>
      <c r="K150" s="4">
        <f>COUNTIFS('Participant Responses'!$V$2:$V$1000,"1",'Participant Responses'!$B$2:$B$1000,"&gt;=55",'Participant Responses'!$B$2:$B$1000,"&lt;=64")</f>
        <v>0</v>
      </c>
      <c r="L150" s="4">
        <f>COUNTIFS('Participant Responses'!$V$2:$V$1000,"1",'Participant Responses'!$B$2:$B$1000,"&gt;=65",'Participant Responses'!$B$2:$B$1000,"&lt;=74")</f>
        <v>0</v>
      </c>
      <c r="M150" s="4">
        <f>COUNTIFS('Participant Responses'!$V$2:$V$1000,"1",'Participant Responses'!$B$2:$B$1000,"&gt;=75",'Participant Responses'!$B$2:$B$1000,"&lt;=84")</f>
        <v>0</v>
      </c>
      <c r="N150" s="4">
        <f>COUNTIFS('Participant Responses'!$V$2:$V$1000,"1",'Participant Responses'!$B$2:$B$1000,"&gt;=85")</f>
        <v>0</v>
      </c>
    </row>
    <row r="151" spans="1:14">
      <c r="A151" s="3" t="s">
        <v>48</v>
      </c>
      <c r="B151" s="13">
        <f>COUNTIF('Participant Responses'!$V$2:$V$1000,"2")</f>
        <v>0</v>
      </c>
      <c r="C151" s="7">
        <f>COUNTIFS('Participant Responses'!$V$2:$V$1000,"2",'Participant Responses'!$C$2:$C$1000,"m")</f>
        <v>0</v>
      </c>
      <c r="D151" s="4">
        <f>COUNTIFS('Participant Responses'!$V$2:$V$1000,"2",'Participant Responses'!$C$2:$C$1000,"f")</f>
        <v>0</v>
      </c>
      <c r="E151" s="4">
        <f>COUNTIFS('Participant Responses'!$V$2:$V$1000,"2",'Participant Responses'!$B$2:$B$1000,"&lt;=4")</f>
        <v>0</v>
      </c>
      <c r="F151" s="4">
        <f>COUNTIFS('Participant Responses'!$V$2:$V$1000,"2",'Participant Responses'!$B$2:$B$1000,"&gt;=5",'Participant Responses'!$B$2:$B$1000,"&lt;=14")</f>
        <v>0</v>
      </c>
      <c r="G151" s="4">
        <f>COUNTIFS('Participant Responses'!$V$2:$V$1000,"2",'Participant Responses'!$B$2:$B$1000,"&gt;=15",'Participant Responses'!$B$2:$B$1000,"&lt;=19")</f>
        <v>0</v>
      </c>
      <c r="H151" s="4">
        <f>COUNTIFS('Participant Responses'!$V$2:$V$1000,"2",'Participant Responses'!$B$2:$B$1000,"&gt;=20",'Participant Responses'!$B$2:$B$1000,"&lt;=24")</f>
        <v>0</v>
      </c>
      <c r="I151" s="4">
        <f>COUNTIFS('Participant Responses'!$V$2:$V$1000,"2",'Participant Responses'!$B$2:$B$1000,"&gt;=25",'Participant Responses'!$B$2:$B$1000,"&lt;=44")</f>
        <v>0</v>
      </c>
      <c r="J151" s="4">
        <f>COUNTIFS('Participant Responses'!$V$2:$V$1000,"2",'Participant Responses'!$B$2:$B$1000,"&gt;=45",'Participant Responses'!$B$2:$B$1000,"&lt;=54")</f>
        <v>0</v>
      </c>
      <c r="K151" s="4">
        <f>COUNTIFS('Participant Responses'!$V$2:$V$1000,"2",'Participant Responses'!$B$2:$B$1000,"&gt;=55",'Participant Responses'!$B$2:$B$1000,"&lt;=64")</f>
        <v>0</v>
      </c>
      <c r="L151" s="4">
        <f>COUNTIFS('Participant Responses'!$V$2:$V$1000,"2",'Participant Responses'!$B$2:$B$1000,"&gt;=65",'Participant Responses'!$B$2:$B$1000,"&lt;=74")</f>
        <v>0</v>
      </c>
      <c r="M151" s="4">
        <f>COUNTIFS('Participant Responses'!$V$2:$V$1000,"2",'Participant Responses'!$B$2:$B$1000,"&gt;=75",'Participant Responses'!$B$2:$B$1000,"&lt;=84")</f>
        <v>0</v>
      </c>
      <c r="N151" s="4">
        <f>COUNTIFS('Participant Responses'!$V$2:$V$1000,"2",'Participant Responses'!$B$2:$B$1000,"&gt;85")</f>
        <v>0</v>
      </c>
    </row>
    <row r="152" spans="1:14">
      <c r="A152" s="3" t="s">
        <v>49</v>
      </c>
      <c r="B152" s="13">
        <f>COUNTIF('Participant Responses'!$V$2:$V$1000,"3")</f>
        <v>0</v>
      </c>
      <c r="C152" s="7">
        <f>COUNTIFS('Participant Responses'!$V$2:$V$1000,"3",'Participant Responses'!$C$2:$C$1000,"m")</f>
        <v>0</v>
      </c>
      <c r="D152" s="4">
        <f>COUNTIFS('Participant Responses'!$V$2:$V$1000,"3",'Participant Responses'!$C$2:$C$1000,"f")</f>
        <v>0</v>
      </c>
      <c r="E152" s="4">
        <f>COUNTIFS('Participant Responses'!$V$2:$V$1000,"3",'Participant Responses'!$B$2:$B$1000,"&lt;=4")</f>
        <v>0</v>
      </c>
      <c r="F152" s="4">
        <f>COUNTIFS('Participant Responses'!$V$2:$V$1000,"3",'Participant Responses'!$B$2:$B$1000,"&gt;=5",'Participant Responses'!$B$2:$B$1000,"&lt;=14")</f>
        <v>0</v>
      </c>
      <c r="G152" s="4">
        <f>COUNTIFS('Participant Responses'!$V$2:$V$1000,"3",'Participant Responses'!$B$2:$B$1000,"&gt;=15",'Participant Responses'!$B$2:$B$1000,"&lt;=19")</f>
        <v>0</v>
      </c>
      <c r="H152" s="4">
        <f>COUNTIFS('Participant Responses'!$V$2:$V$1000,"3",'Participant Responses'!$B$2:$B$1000,"&gt;=20",'Participant Responses'!$B$2:$B$1000,"&lt;=24")</f>
        <v>0</v>
      </c>
      <c r="I152" s="4">
        <f>COUNTIFS('Participant Responses'!$V$2:$V$1000,"3",'Participant Responses'!$B$2:$B$1000,"&gt;=25",'Participant Responses'!$B$2:$B$1000,"&lt;=44")</f>
        <v>0</v>
      </c>
      <c r="J152" s="4">
        <f>COUNTIFS('Participant Responses'!$V$2:$V$1000,"3",'Participant Responses'!$B$2:$B$1000,"&gt;=45",'Participant Responses'!$B$2:$B$1000,"&lt;=54")</f>
        <v>0</v>
      </c>
      <c r="K152" s="4">
        <f>COUNTIFS('Participant Responses'!$V$2:$V$1000,"3",'Participant Responses'!$B$2:$B$1000,"&gt;=55",'Participant Responses'!$B$2:$B$1000,"&lt;=64")</f>
        <v>0</v>
      </c>
      <c r="L152" s="4">
        <f>COUNTIFS('Participant Responses'!$V$2:$V$1000,"3",'Participant Responses'!$B$2:$B$1000,"&gt;=65",'Participant Responses'!$B$2:$B$1000,"&lt;=74")</f>
        <v>0</v>
      </c>
      <c r="M152" s="4">
        <f>COUNTIFS('Participant Responses'!$V$2:$V$1000,"3",'Participant Responses'!$B$2:$B$1000,"&gt;=75",'Participant Responses'!$B$2:$B$1000,"&lt;=84")</f>
        <v>0</v>
      </c>
      <c r="N152" s="4">
        <f>COUNTIFS('Participant Responses'!$V$2:$V$1000,"3",'Participant Responses'!$B$2:$B$1000,"&gt;85")</f>
        <v>0</v>
      </c>
    </row>
    <row r="153" spans="1:14">
      <c r="A153" s="3" t="s">
        <v>50</v>
      </c>
      <c r="B153" s="13">
        <f>COUNTIF('Participant Responses'!$V$2:$V$1000,"4")</f>
        <v>0</v>
      </c>
      <c r="C153" s="7">
        <f>COUNTIFS('Participant Responses'!$V$2:$V$1000,"4",'Participant Responses'!$C$2:$C$1000,"m")</f>
        <v>0</v>
      </c>
      <c r="D153" s="4">
        <f>COUNTIFS('Participant Responses'!$V$2:$V$1000,"4",'Participant Responses'!$C$2:$C$1000,"f")</f>
        <v>0</v>
      </c>
      <c r="E153" s="4">
        <f>COUNTIFS('Participant Responses'!$V$2:$V$1000,"4",'Participant Responses'!$B$2:$B$1000,"&lt;=4")</f>
        <v>0</v>
      </c>
      <c r="F153" s="4">
        <f>COUNTIFS('Participant Responses'!$V$2:$V$1000,"4",'Participant Responses'!$B$2:$B$1000,"&gt;=5",'Participant Responses'!$B$2:$B$1000,"&lt;=14")</f>
        <v>0</v>
      </c>
      <c r="G153" s="4">
        <f>COUNTIFS('Participant Responses'!$V$2:$V$1000,"4",'Participant Responses'!$B$2:$B$1000,"&gt;=15",'Participant Responses'!$B$2:$B$1000,"&lt;=19")</f>
        <v>0</v>
      </c>
      <c r="H153" s="4">
        <f>COUNTIFS('Participant Responses'!$V$2:$V$1000,"4",'Participant Responses'!$B$2:$B$1000,"&gt;=20",'Participant Responses'!$B$2:$B$1000,"&lt;=24")</f>
        <v>0</v>
      </c>
      <c r="I153" s="4">
        <f>COUNTIFS('Participant Responses'!$V$2:$V$1000,"4",'Participant Responses'!$B$2:$B$1000,"&gt;=25",'Participant Responses'!$B$2:$B$1000,"&lt;=44")</f>
        <v>0</v>
      </c>
      <c r="J153" s="4">
        <f>COUNTIFS('Participant Responses'!$V$2:$V$1000,"4",'Participant Responses'!$B$2:$B$1000,"&gt;=45",'Participant Responses'!$B$2:$B$1000,"&lt;=54")</f>
        <v>0</v>
      </c>
      <c r="K153" s="4">
        <f>COUNTIFS('Participant Responses'!$V$2:$V$1000,"4",'Participant Responses'!$B$2:$B$1000,"&gt;=55",'Participant Responses'!$B$2:$B$1000,"&lt;=64")</f>
        <v>0</v>
      </c>
      <c r="L153" s="4">
        <f>COUNTIFS('Participant Responses'!$V$2:$V$1000,"4",'Participant Responses'!$B$2:$B$1000,"&gt;=65",'Participant Responses'!$B$2:$B$1000,"&lt;=74")</f>
        <v>0</v>
      </c>
      <c r="M153" s="4">
        <f>COUNTIFS('Participant Responses'!$V$2:$V$1000,"4",'Participant Responses'!$B$2:$B$1000,"&gt;=75",'Participant Responses'!$B$2:$B$1000,"&lt;=84")</f>
        <v>0</v>
      </c>
      <c r="N153" s="4">
        <f>COUNTIFS('Participant Responses'!$V$2:$V$1000,"4",'Participant Responses'!$B$2:$B$1000,"&gt;85")</f>
        <v>0</v>
      </c>
    </row>
    <row r="154" spans="1:14">
      <c r="A154" s="3" t="s">
        <v>51</v>
      </c>
      <c r="B154" s="13">
        <f>COUNTIF('Participant Responses'!$V$2:$V$1000,"5")</f>
        <v>0</v>
      </c>
      <c r="C154" s="7">
        <f>COUNTIFS('Participant Responses'!$V$2:$V$1000,"5",'Participant Responses'!$C$2:$C$1000,"m")</f>
        <v>0</v>
      </c>
      <c r="D154" s="4">
        <f>COUNTIFS('Participant Responses'!$V$2:$V$1000,"5",'Participant Responses'!$C$2:$C$1000,"f")</f>
        <v>0</v>
      </c>
      <c r="E154" s="4">
        <f>COUNTIFS('Participant Responses'!$V$2:$V$1000,"5",'Participant Responses'!$B$2:$B$1000,"&lt;=4")</f>
        <v>0</v>
      </c>
      <c r="F154" s="4">
        <f>COUNTIFS('Participant Responses'!$V$2:$V$1000,"5",'Participant Responses'!$B$2:$B$1000,"&gt;=5",'Participant Responses'!$B$2:$B$1000,"&lt;=14")</f>
        <v>0</v>
      </c>
      <c r="G154" s="4">
        <f>COUNTIFS('Participant Responses'!$V$2:$V$1000,"5",'Participant Responses'!$B$2:$B$1000,"&gt;=15",'Participant Responses'!$B$2:$B$1000,"&lt;=19")</f>
        <v>0</v>
      </c>
      <c r="H154" s="4">
        <f>COUNTIFS('Participant Responses'!$V$2:$V$1000,"5",'Participant Responses'!$B$2:$B$1000,"&gt;=20",'Participant Responses'!$B$2:$B$1000,"&lt;=24")</f>
        <v>0</v>
      </c>
      <c r="I154" s="4">
        <f>COUNTIFS('Participant Responses'!$V$2:$V$1000,"5",'Participant Responses'!$B$2:$B$1000,"&gt;=25",'Participant Responses'!$B$2:$B$1000,"&lt;=44")</f>
        <v>0</v>
      </c>
      <c r="J154" s="4">
        <f>COUNTIFS('Participant Responses'!$V$2:$V$1000,"5",'Participant Responses'!$B$2:$B$1000,"&gt;=45",'Participant Responses'!$B$2:$B$1000,"&lt;=54")</f>
        <v>0</v>
      </c>
      <c r="K154" s="4">
        <f>COUNTIFS('Participant Responses'!$V$2:$V$1000,"5",'Participant Responses'!$B$2:$B$1000,"&gt;=55",'Participant Responses'!$B$2:$B$1000,"&lt;=64")</f>
        <v>0</v>
      </c>
      <c r="L154" s="4">
        <f>COUNTIFS('Participant Responses'!$V$2:$V$1000,"5",'Participant Responses'!$B$2:$B$1000,"&gt;=65",'Participant Responses'!$B$2:$B$1000,"&lt;=74")</f>
        <v>0</v>
      </c>
      <c r="M154" s="4">
        <f>COUNTIFS('Participant Responses'!$V$2:$V$1000,"5",'Participant Responses'!$B$2:$B$1000,"&gt;=75",'Participant Responses'!$B$2:$B$1000,"&lt;=84")</f>
        <v>0</v>
      </c>
      <c r="N154" s="4">
        <f>COUNTIFS('Participant Responses'!$V$2:$V$1000,"5",'Participant Responses'!$B$2:$B$1000,"&gt;85")</f>
        <v>0</v>
      </c>
    </row>
    <row r="156" spans="1:14" ht="45">
      <c r="A156" s="8" t="s">
        <v>72</v>
      </c>
      <c r="B156" s="11" t="s">
        <v>15</v>
      </c>
      <c r="C156" s="23" t="s">
        <v>2</v>
      </c>
      <c r="D156" s="24"/>
      <c r="E156" s="24" t="s">
        <v>5</v>
      </c>
      <c r="F156" s="24"/>
      <c r="G156" s="24"/>
      <c r="H156" s="24"/>
      <c r="I156" s="24"/>
      <c r="J156" s="24"/>
      <c r="K156" s="24"/>
      <c r="L156" s="24"/>
      <c r="M156" s="24"/>
      <c r="N156" s="24"/>
    </row>
    <row r="157" spans="1:14">
      <c r="A157" s="3"/>
      <c r="B157" s="13"/>
      <c r="C157" s="7" t="s">
        <v>13</v>
      </c>
      <c r="D157" s="4" t="s">
        <v>14</v>
      </c>
      <c r="E157" s="3" t="s">
        <v>6</v>
      </c>
      <c r="F157" s="3" t="s">
        <v>17</v>
      </c>
      <c r="G157" s="3" t="s">
        <v>7</v>
      </c>
      <c r="H157" s="3" t="s">
        <v>8</v>
      </c>
      <c r="I157" s="3" t="s">
        <v>9</v>
      </c>
      <c r="J157" s="3" t="s">
        <v>10</v>
      </c>
      <c r="K157" s="3" t="s">
        <v>11</v>
      </c>
      <c r="L157" s="3" t="s">
        <v>18</v>
      </c>
      <c r="M157" s="3" t="s">
        <v>12</v>
      </c>
      <c r="N157" s="3" t="s">
        <v>16</v>
      </c>
    </row>
    <row r="158" spans="1:14">
      <c r="A158" s="9" t="s">
        <v>47</v>
      </c>
      <c r="B158" s="12">
        <f>COUNTIF('Participant Responses'!$W$2:$W$1000,"1")</f>
        <v>0</v>
      </c>
      <c r="C158" s="10">
        <f>COUNTIFS('Participant Responses'!$W$2:$W$1000,"1",'Participant Responses'!$C$2:$C$1000,"m")</f>
        <v>0</v>
      </c>
      <c r="D158" s="4">
        <f>COUNTIFS('Participant Responses'!$W$2:$W$1000,"1",'Participant Responses'!$C$2:$C$1000,"f")</f>
        <v>0</v>
      </c>
      <c r="E158" s="5">
        <f>COUNTIFS('Participant Responses'!$W$2:$W$1000,"1",'Participant Responses'!$B$2:$B$1000,"&lt;=4")</f>
        <v>0</v>
      </c>
      <c r="F158" s="4">
        <f>COUNTIFS('Participant Responses'!$W$2:$W$1000,"1",'Participant Responses'!$B$2:$B$1000,"&gt;=5",'Participant Responses'!$B$2:$B$1000,"&lt;=14")</f>
        <v>0</v>
      </c>
      <c r="G158" s="4">
        <f>COUNTIFS('Participant Responses'!$W$2:$W$1000,"1",'Participant Responses'!$B$2:$B$1000,"&gt;=15",'Participant Responses'!$B$2:$B$1000,"&lt;=19")</f>
        <v>0</v>
      </c>
      <c r="H158" s="4">
        <f>COUNTIFS('Participant Responses'!$W$2:$W$1000,"1",'Participant Responses'!$B$2:$B$1000,"&gt;=20",'Participant Responses'!$B$2:$B$1000,"&lt;=24")</f>
        <v>0</v>
      </c>
      <c r="I158" s="4">
        <f>COUNTIFS('Participant Responses'!$W$2:$W$1000,"1",'Participant Responses'!$B$2:$B$1000,"&gt;=25",'Participant Responses'!$B$2:$B$1000,"&lt;=44")</f>
        <v>0</v>
      </c>
      <c r="J158" s="4">
        <f>COUNTIFS('Participant Responses'!$W$2:$W$1000,"1",'Participant Responses'!$B$2:$B$1000,"&gt;=45",'Participant Responses'!$B$2:$B$1000,"&lt;=54")</f>
        <v>0</v>
      </c>
      <c r="K158" s="4">
        <f>COUNTIFS('Participant Responses'!$W$2:$W$1000,"1",'Participant Responses'!$B$2:$B$1000,"&gt;=55",'Participant Responses'!$B$2:$B$1000,"&lt;=64")</f>
        <v>0</v>
      </c>
      <c r="L158" s="4">
        <f>COUNTIFS('Participant Responses'!$W$2:$W$1000,"1",'Participant Responses'!$B$2:$B$1000,"&gt;=65",'Participant Responses'!$B$2:$B$1000,"&lt;=74")</f>
        <v>0</v>
      </c>
      <c r="M158" s="4">
        <f>COUNTIFS('Participant Responses'!$W$2:$W$1000,"1",'Participant Responses'!$B$2:$B$1000,"&gt;=75",'Participant Responses'!$B$2:$B$1000,"&lt;=84")</f>
        <v>0</v>
      </c>
      <c r="N158" s="4">
        <f>COUNTIFS('Participant Responses'!$W$2:$W$1000,"1",'Participant Responses'!$B$2:$B$1000,"&gt;=85")</f>
        <v>0</v>
      </c>
    </row>
    <row r="159" spans="1:14">
      <c r="A159" s="3" t="s">
        <v>48</v>
      </c>
      <c r="B159" s="13">
        <f>COUNTIF('Participant Responses'!$W$2:$W$1000,"2")</f>
        <v>0</v>
      </c>
      <c r="C159" s="7">
        <f>COUNTIFS('Participant Responses'!$W$2:$W$1000,"2",'Participant Responses'!$C$2:$C$1000,"m")</f>
        <v>0</v>
      </c>
      <c r="D159" s="4">
        <f>COUNTIFS('Participant Responses'!$W$2:$W$1000,"2",'Participant Responses'!$C$2:$C$1000,"f")</f>
        <v>0</v>
      </c>
      <c r="E159" s="4">
        <f>COUNTIFS('Participant Responses'!$W$2:$W$1000,"2",'Participant Responses'!$B$2:$B$1000,"&lt;=4")</f>
        <v>0</v>
      </c>
      <c r="F159" s="4">
        <f>COUNTIFS('Participant Responses'!$W$2:$W$1000,"2",'Participant Responses'!$B$2:$B$1000,"&gt;=5",'Participant Responses'!$B$2:$B$1000,"&lt;=14")</f>
        <v>0</v>
      </c>
      <c r="G159" s="4">
        <f>COUNTIFS('Participant Responses'!$W$2:$W$1000,"2",'Participant Responses'!$B$2:$B$1000,"&gt;=15",'Participant Responses'!$B$2:$B$1000,"&lt;=19")</f>
        <v>0</v>
      </c>
      <c r="H159" s="4">
        <f>COUNTIFS('Participant Responses'!$W$2:$W$1000,"2",'Participant Responses'!$B$2:$B$1000,"&gt;=20",'Participant Responses'!$B$2:$B$1000,"&lt;=24")</f>
        <v>0</v>
      </c>
      <c r="I159" s="4">
        <f>COUNTIFS('Participant Responses'!$W$2:$W$1000,"2",'Participant Responses'!$B$2:$B$1000,"&gt;=25",'Participant Responses'!$B$2:$B$1000,"&lt;=44")</f>
        <v>0</v>
      </c>
      <c r="J159" s="4">
        <f>COUNTIFS('Participant Responses'!$W$2:$W$1000,"2",'Participant Responses'!$B$2:$B$1000,"&gt;=45",'Participant Responses'!$B$2:$B$1000,"&lt;=54")</f>
        <v>0</v>
      </c>
      <c r="K159" s="4">
        <f>COUNTIFS('Participant Responses'!$W$2:$W$1000,"2",'Participant Responses'!$B$2:$B$1000,"&gt;=55",'Participant Responses'!$B$2:$B$1000,"&lt;=64")</f>
        <v>0</v>
      </c>
      <c r="L159" s="4">
        <f>COUNTIFS('Participant Responses'!$W$2:$W$1000,"2",'Participant Responses'!$B$2:$B$1000,"&gt;=65",'Participant Responses'!$B$2:$B$1000,"&lt;=74")</f>
        <v>0</v>
      </c>
      <c r="M159" s="4">
        <f>COUNTIFS('Participant Responses'!$W$2:$W$1000,"2",'Participant Responses'!$B$2:$B$1000,"&gt;=75",'Participant Responses'!$B$2:$B$1000,"&lt;=84")</f>
        <v>0</v>
      </c>
      <c r="N159" s="4">
        <f>COUNTIFS('Participant Responses'!$W$2:$W$1000,"2",'Participant Responses'!$B$2:$B$1000,"&gt;85")</f>
        <v>0</v>
      </c>
    </row>
    <row r="160" spans="1:14">
      <c r="A160" s="3" t="s">
        <v>49</v>
      </c>
      <c r="B160" s="13">
        <f>COUNTIF('Participant Responses'!$W$2:$W$1000,"3")</f>
        <v>0</v>
      </c>
      <c r="C160" s="7">
        <f>COUNTIFS('Participant Responses'!$W$2:$W$1000,"3",'Participant Responses'!$C$2:$C$1000,"m")</f>
        <v>0</v>
      </c>
      <c r="D160" s="4">
        <f>COUNTIFS('Participant Responses'!$W$2:$W$1000,"3",'Participant Responses'!$C$2:$C$1000,"f")</f>
        <v>0</v>
      </c>
      <c r="E160" s="4">
        <f>COUNTIFS('Participant Responses'!$W$2:$W$1000,"3",'Participant Responses'!$B$2:$B$1000,"&lt;=4")</f>
        <v>0</v>
      </c>
      <c r="F160" s="4">
        <f>COUNTIFS('Participant Responses'!$W$2:$W$1000,"3",'Participant Responses'!$B$2:$B$1000,"&gt;=5",'Participant Responses'!$B$2:$B$1000,"&lt;=14")</f>
        <v>0</v>
      </c>
      <c r="G160" s="4">
        <f>COUNTIFS('Participant Responses'!$W$2:$W$1000,"3",'Participant Responses'!$B$2:$B$1000,"&gt;=15",'Participant Responses'!$B$2:$B$1000,"&lt;=19")</f>
        <v>0</v>
      </c>
      <c r="H160" s="4">
        <f>COUNTIFS('Participant Responses'!$W$2:$W$1000,"3",'Participant Responses'!$B$2:$B$1000,"&gt;=20",'Participant Responses'!$B$2:$B$1000,"&lt;=24")</f>
        <v>0</v>
      </c>
      <c r="I160" s="4">
        <f>COUNTIFS('Participant Responses'!$W$2:$W$1000,"3",'Participant Responses'!$B$2:$B$1000,"&gt;=25",'Participant Responses'!$B$2:$B$1000,"&lt;=44")</f>
        <v>0</v>
      </c>
      <c r="J160" s="4">
        <f>COUNTIFS('Participant Responses'!$W$2:$W$1000,"3",'Participant Responses'!$B$2:$B$1000,"&gt;=45",'Participant Responses'!$B$2:$B$1000,"&lt;=54")</f>
        <v>0</v>
      </c>
      <c r="K160" s="4">
        <f>COUNTIFS('Participant Responses'!$W$2:$W$1000,"3",'Participant Responses'!$B$2:$B$1000,"&gt;=55",'Participant Responses'!$B$2:$B$1000,"&lt;=64")</f>
        <v>0</v>
      </c>
      <c r="L160" s="4">
        <f>COUNTIFS('Participant Responses'!$W$2:$W$1000,"3",'Participant Responses'!$B$2:$B$1000,"&gt;=65",'Participant Responses'!$B$2:$B$1000,"&lt;=74")</f>
        <v>0</v>
      </c>
      <c r="M160" s="4">
        <f>COUNTIFS('Participant Responses'!$W$2:$W$1000,"3",'Participant Responses'!$B$2:$B$1000,"&gt;=75",'Participant Responses'!$B$2:$B$1000,"&lt;=84")</f>
        <v>0</v>
      </c>
      <c r="N160" s="4">
        <f>COUNTIFS('Participant Responses'!$W$2:$W$1000,"3",'Participant Responses'!$B$2:$B$1000,"&gt;85")</f>
        <v>0</v>
      </c>
    </row>
    <row r="161" spans="1:14">
      <c r="A161" s="3" t="s">
        <v>50</v>
      </c>
      <c r="B161" s="13">
        <f>COUNTIF('Participant Responses'!$W$2:$W$1000,"4")</f>
        <v>0</v>
      </c>
      <c r="C161" s="7">
        <f>COUNTIFS('Participant Responses'!$W$2:$W$1000,"4",'Participant Responses'!$C$2:$C$1000,"m")</f>
        <v>0</v>
      </c>
      <c r="D161" s="4">
        <f>COUNTIFS('Participant Responses'!$W$2:$W$1000,"4",'Participant Responses'!$C$2:$C$1000,"f")</f>
        <v>0</v>
      </c>
      <c r="E161" s="4">
        <f>COUNTIFS('Participant Responses'!$W$2:$W$1000,"4",'Participant Responses'!$B$2:$B$1000,"&lt;=4")</f>
        <v>0</v>
      </c>
      <c r="F161" s="4">
        <f>COUNTIFS('Participant Responses'!$W$2:$W$1000,"4",'Participant Responses'!$B$2:$B$1000,"&gt;=5",'Participant Responses'!$B$2:$B$1000,"&lt;=14")</f>
        <v>0</v>
      </c>
      <c r="G161" s="4">
        <f>COUNTIFS('Participant Responses'!$W$2:$W$1000,"4",'Participant Responses'!$B$2:$B$1000,"&gt;=15",'Participant Responses'!$B$2:$B$1000,"&lt;=19")</f>
        <v>0</v>
      </c>
      <c r="H161" s="4">
        <f>COUNTIFS('Participant Responses'!$W$2:$W$1000,"4",'Participant Responses'!$B$2:$B$1000,"&gt;=20",'Participant Responses'!$B$2:$B$1000,"&lt;=24")</f>
        <v>0</v>
      </c>
      <c r="I161" s="4">
        <f>COUNTIFS('Participant Responses'!$W$2:$W$1000,"4",'Participant Responses'!$B$2:$B$1000,"&gt;=25",'Participant Responses'!$B$2:$B$1000,"&lt;=44")</f>
        <v>0</v>
      </c>
      <c r="J161" s="4">
        <f>COUNTIFS('Participant Responses'!$W$2:$W$1000,"4",'Participant Responses'!$B$2:$B$1000,"&gt;=45",'Participant Responses'!$B$2:$B$1000,"&lt;=54")</f>
        <v>0</v>
      </c>
      <c r="K161" s="4">
        <f>COUNTIFS('Participant Responses'!$W$2:$W$1000,"4",'Participant Responses'!$B$2:$B$1000,"&gt;=55",'Participant Responses'!$B$2:$B$1000,"&lt;=64")</f>
        <v>0</v>
      </c>
      <c r="L161" s="4">
        <f>COUNTIFS('Participant Responses'!$W$2:$W$1000,"4",'Participant Responses'!$B$2:$B$1000,"&gt;=65",'Participant Responses'!$B$2:$B$1000,"&lt;=74")</f>
        <v>0</v>
      </c>
      <c r="M161" s="4">
        <f>COUNTIFS('Participant Responses'!$W$2:$W$1000,"4",'Participant Responses'!$B$2:$B$1000,"&gt;=75",'Participant Responses'!$B$2:$B$1000,"&lt;=84")</f>
        <v>0</v>
      </c>
      <c r="N161" s="4">
        <f>COUNTIFS('Participant Responses'!$W$2:$W$1000,"4",'Participant Responses'!$B$2:$B$1000,"&gt;85")</f>
        <v>0</v>
      </c>
    </row>
    <row r="162" spans="1:14">
      <c r="A162" s="3" t="s">
        <v>51</v>
      </c>
      <c r="B162" s="13">
        <f>COUNTIF('Participant Responses'!$W$2:$W$1000,"5")</f>
        <v>0</v>
      </c>
      <c r="C162" s="7">
        <f>COUNTIFS('Participant Responses'!$W$2:$W$1000,"5",'Participant Responses'!$C$2:$C$1000,"m")</f>
        <v>0</v>
      </c>
      <c r="D162" s="4">
        <f>COUNTIFS('Participant Responses'!$W$2:$W$1000,"5",'Participant Responses'!$C$2:$C$1000,"f")</f>
        <v>0</v>
      </c>
      <c r="E162" s="4">
        <f>COUNTIFS('Participant Responses'!$W$2:$W$1000,"5",'Participant Responses'!$B$2:$B$1000,"&lt;=4")</f>
        <v>0</v>
      </c>
      <c r="F162" s="4">
        <f>COUNTIFS('Participant Responses'!$W$2:$W$1000,"5",'Participant Responses'!$B$2:$B$1000,"&gt;=5",'Participant Responses'!$B$2:$B$1000,"&lt;=14")</f>
        <v>0</v>
      </c>
      <c r="G162" s="4">
        <f>COUNTIFS('Participant Responses'!$W$2:$W$1000,"5",'Participant Responses'!$B$2:$B$1000,"&gt;=15",'Participant Responses'!$B$2:$B$1000,"&lt;=19")</f>
        <v>0</v>
      </c>
      <c r="H162" s="4">
        <f>COUNTIFS('Participant Responses'!$W$2:$W$1000,"5",'Participant Responses'!$B$2:$B$1000,"&gt;=20",'Participant Responses'!$B$2:$B$1000,"&lt;=24")</f>
        <v>0</v>
      </c>
      <c r="I162" s="4">
        <f>COUNTIFS('Participant Responses'!$W$2:$W$1000,"5",'Participant Responses'!$B$2:$B$1000,"&gt;=25",'Participant Responses'!$B$2:$B$1000,"&lt;=44")</f>
        <v>0</v>
      </c>
      <c r="J162" s="4">
        <f>COUNTIFS('Participant Responses'!$W$2:$W$1000,"5",'Participant Responses'!$B$2:$B$1000,"&gt;=45",'Participant Responses'!$B$2:$B$1000,"&lt;=54")</f>
        <v>0</v>
      </c>
      <c r="K162" s="4">
        <f>COUNTIFS('Participant Responses'!$W$2:$W$1000,"5",'Participant Responses'!$B$2:$B$1000,"&gt;=55",'Participant Responses'!$B$2:$B$1000,"&lt;=64")</f>
        <v>0</v>
      </c>
      <c r="L162" s="4">
        <f>COUNTIFS('Participant Responses'!$W$2:$W$1000,"5",'Participant Responses'!$B$2:$B$1000,"&gt;=65",'Participant Responses'!$B$2:$B$1000,"&lt;=74")</f>
        <v>0</v>
      </c>
      <c r="M162" s="4">
        <f>COUNTIFS('Participant Responses'!$W$2:$W$1000,"5",'Participant Responses'!$B$2:$B$1000,"&gt;=75",'Participant Responses'!$B$2:$B$1000,"&lt;=84")</f>
        <v>0</v>
      </c>
      <c r="N162" s="4">
        <f>COUNTIFS('Participant Responses'!$W$2:$W$1000,"5",'Participant Responses'!$B$2:$B$1000,"&gt;85")</f>
        <v>0</v>
      </c>
    </row>
  </sheetData>
  <mergeCells count="36">
    <mergeCell ref="C20:D20"/>
    <mergeCell ref="E20:N20"/>
    <mergeCell ref="C28:D28"/>
    <mergeCell ref="E28:N28"/>
    <mergeCell ref="C36:D36"/>
    <mergeCell ref="E36:N36"/>
    <mergeCell ref="C44:D44"/>
    <mergeCell ref="E44:N44"/>
    <mergeCell ref="C52:D52"/>
    <mergeCell ref="E52:N52"/>
    <mergeCell ref="C60:D60"/>
    <mergeCell ref="E60:N60"/>
    <mergeCell ref="C68:D68"/>
    <mergeCell ref="E68:N68"/>
    <mergeCell ref="C76:D76"/>
    <mergeCell ref="E76:N76"/>
    <mergeCell ref="C84:D84"/>
    <mergeCell ref="E84:N84"/>
    <mergeCell ref="C92:D92"/>
    <mergeCell ref="E92:N92"/>
    <mergeCell ref="C100:D100"/>
    <mergeCell ref="E100:N100"/>
    <mergeCell ref="C108:D108"/>
    <mergeCell ref="E108:N108"/>
    <mergeCell ref="C116:D116"/>
    <mergeCell ref="E116:N116"/>
    <mergeCell ref="C124:D124"/>
    <mergeCell ref="E124:N124"/>
    <mergeCell ref="C132:D132"/>
    <mergeCell ref="E132:N132"/>
    <mergeCell ref="C140:D140"/>
    <mergeCell ref="E140:N140"/>
    <mergeCell ref="C148:D148"/>
    <mergeCell ref="E148:N148"/>
    <mergeCell ref="C156:D156"/>
    <mergeCell ref="E156:N156"/>
  </mergeCells>
  <phoneticPr fontId="3" type="noConversion"/>
  <dataValidations count="1">
    <dataValidation allowBlank="1" showInputMessage="1" showErrorMessage="1" promptTitle="Enter total number" prompt="Type the number of participants that completed the survey and that were entered into rows on the Participant Responses worksheet" sqref="B1"/>
  </dataValidations>
  <pageMargins left="0.25" right="0.25" top="0.75" bottom="0.75" header="0.3" footer="0.3"/>
  <pageSetup orientation="portrait" horizontalDpi="4294967292" verticalDpi="4294967292"/>
  <headerFooter>
    <oddHeader>&amp;CParticipant Response Totals for _x000D_Language Attitudes Survey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topLeftCell="A432" workbookViewId="0">
      <selection activeCell="A429" sqref="A429"/>
    </sheetView>
  </sheetViews>
  <sheetFormatPr baseColWidth="10" defaultRowHeight="15" x14ac:dyDescent="0"/>
  <sheetData/>
  <phoneticPr fontId="3" type="noConversion"/>
  <pageMargins left="0.7" right="0.7" top="0.75" bottom="0.75" header="0.3" footer="0.3"/>
  <pageSetup orientation="portrait" horizontalDpi="4294967292" verticalDpi="4294967292"/>
  <headerFooter>
    <oddHeader>&amp;C"Language Attitudes" Participant Responses_x000D_</oddHead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>
      <selection activeCell="A315" sqref="A315"/>
    </sheetView>
  </sheetViews>
  <sheetFormatPr baseColWidth="10" defaultRowHeight="15" x14ac:dyDescent="0"/>
  <sheetData/>
  <phoneticPr fontId="3" type="noConversion"/>
  <pageMargins left="0.7" right="0.7" top="0.75" bottom="0.75" header="0.3" footer="0.3"/>
  <pageSetup orientation="landscape" horizontalDpi="4294967292" verticalDpi="4294967292"/>
  <headerFooter>
    <oddHeader>&amp;C"Language Attitudes" Participant Responses_x000D_By Age</oddHead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Participant Responses</vt:lpstr>
      <vt:lpstr>Response Totals</vt:lpstr>
      <vt:lpstr>Chart Responses (SIMPLE)</vt:lpstr>
      <vt:lpstr>Chart Responses (DETAIL)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Franks</dc:creator>
  <cp:lastModifiedBy>Scott Franks</cp:lastModifiedBy>
  <dcterms:created xsi:type="dcterms:W3CDTF">2013-04-19T22:44:27Z</dcterms:created>
  <dcterms:modified xsi:type="dcterms:W3CDTF">2013-04-29T05:33:35Z</dcterms:modified>
</cp:coreProperties>
</file>