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206"/>
  <workbookPr showInkAnnotation="0" hidePivotFieldList="1" autoCompressPictures="0"/>
  <bookViews>
    <workbookView xWindow="10180" yWindow="-21800" windowWidth="34740" windowHeight="15800" tabRatio="500"/>
  </bookViews>
  <sheets>
    <sheet name="Participant Responses" sheetId="1" r:id="rId1"/>
    <sheet name="Response Totals" sheetId="3" r:id="rId2"/>
    <sheet name="Chart Responses (SIMPLE)" sheetId="4" r:id="rId3"/>
    <sheet name="Chart Responses (DETAIL)" sheetId="6" r:id="rId4"/>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16" i="3" l="1"/>
  <c r="B17" i="3"/>
  <c r="B18" i="3"/>
  <c r="N167" i="3"/>
  <c r="M167" i="3"/>
  <c r="L167" i="3"/>
  <c r="K167" i="3"/>
  <c r="J167" i="3"/>
  <c r="I167" i="3"/>
  <c r="H167" i="3"/>
  <c r="G167" i="3"/>
  <c r="F167" i="3"/>
  <c r="E167" i="3"/>
  <c r="D167" i="3"/>
  <c r="C167" i="3"/>
  <c r="B167" i="3"/>
  <c r="N38" i="3"/>
  <c r="M38" i="3"/>
  <c r="L38" i="3"/>
  <c r="K38" i="3"/>
  <c r="J38" i="3"/>
  <c r="I38" i="3"/>
  <c r="H38" i="3"/>
  <c r="G38" i="3"/>
  <c r="F38" i="3"/>
  <c r="E38" i="3"/>
  <c r="D38" i="3"/>
  <c r="C38" i="3"/>
  <c r="B38" i="3"/>
  <c r="N166" i="3"/>
  <c r="M166" i="3"/>
  <c r="L166" i="3"/>
  <c r="K166" i="3"/>
  <c r="J166" i="3"/>
  <c r="I166" i="3"/>
  <c r="H166" i="3"/>
  <c r="G166" i="3"/>
  <c r="F166" i="3"/>
  <c r="E166" i="3"/>
  <c r="D166" i="3"/>
  <c r="C166" i="3"/>
  <c r="B166" i="3"/>
  <c r="N37" i="3"/>
  <c r="M37" i="3"/>
  <c r="L37" i="3"/>
  <c r="K37" i="3"/>
  <c r="J37" i="3"/>
  <c r="I37" i="3"/>
  <c r="H37" i="3"/>
  <c r="G37" i="3"/>
  <c r="F37" i="3"/>
  <c r="E37" i="3"/>
  <c r="D37" i="3"/>
  <c r="C37" i="3"/>
  <c r="B37" i="3"/>
  <c r="D168" i="3"/>
  <c r="D159" i="3"/>
  <c r="D158" i="3"/>
  <c r="D157" i="3"/>
  <c r="D156" i="3"/>
  <c r="D155" i="3"/>
  <c r="D148" i="3"/>
  <c r="D147" i="3"/>
  <c r="D146" i="3"/>
  <c r="D145" i="3"/>
  <c r="D144" i="3"/>
  <c r="D137" i="3"/>
  <c r="D136" i="3"/>
  <c r="D135" i="3"/>
  <c r="D134" i="3"/>
  <c r="D133" i="3"/>
  <c r="D126" i="3"/>
  <c r="D125" i="3"/>
  <c r="D124" i="3"/>
  <c r="D123" i="3"/>
  <c r="D122" i="3"/>
  <c r="D115" i="3"/>
  <c r="D114" i="3"/>
  <c r="D113" i="3"/>
  <c r="D112" i="3"/>
  <c r="D111" i="3"/>
  <c r="D104" i="3"/>
  <c r="D103" i="3"/>
  <c r="D102" i="3"/>
  <c r="D101" i="3"/>
  <c r="D100" i="3"/>
  <c r="D96" i="3"/>
  <c r="D95" i="3"/>
  <c r="D94" i="3"/>
  <c r="D93" i="3"/>
  <c r="D92" i="3"/>
  <c r="D91" i="3"/>
  <c r="D90" i="3"/>
  <c r="D86" i="3"/>
  <c r="D85" i="3"/>
  <c r="D84" i="3"/>
  <c r="D83" i="3"/>
  <c r="D76" i="3"/>
  <c r="D75" i="3"/>
  <c r="D74" i="3"/>
  <c r="D73" i="3"/>
  <c r="D72" i="3"/>
  <c r="D68" i="3"/>
  <c r="D67" i="3"/>
  <c r="D66" i="3"/>
  <c r="D65" i="3"/>
  <c r="D64" i="3"/>
  <c r="D60" i="3"/>
  <c r="D59" i="3"/>
  <c r="D58" i="3"/>
  <c r="D57" i="3"/>
  <c r="D56" i="3"/>
  <c r="D55" i="3"/>
  <c r="D54" i="3"/>
  <c r="D53" i="3"/>
  <c r="D49" i="3"/>
  <c r="D48" i="3"/>
  <c r="D47" i="3"/>
  <c r="D46" i="3"/>
  <c r="D45" i="3"/>
  <c r="D44" i="3"/>
  <c r="D43" i="3"/>
  <c r="D42" i="3"/>
  <c r="D33" i="3"/>
  <c r="D32" i="3"/>
  <c r="D31" i="3"/>
  <c r="D30" i="3"/>
  <c r="D26" i="3"/>
  <c r="D25" i="3"/>
  <c r="D24" i="3"/>
  <c r="D23" i="3"/>
  <c r="D22" i="3"/>
  <c r="C168" i="3"/>
  <c r="C159" i="3"/>
  <c r="C158" i="3"/>
  <c r="C157" i="3"/>
  <c r="C156" i="3"/>
  <c r="C155" i="3"/>
  <c r="C148" i="3"/>
  <c r="C147" i="3"/>
  <c r="C146" i="3"/>
  <c r="C145" i="3"/>
  <c r="C144" i="3"/>
  <c r="C137" i="3"/>
  <c r="C136" i="3"/>
  <c r="C135" i="3"/>
  <c r="C134" i="3"/>
  <c r="C133" i="3"/>
  <c r="C126" i="3"/>
  <c r="C125" i="3"/>
  <c r="C124" i="3"/>
  <c r="C123" i="3"/>
  <c r="C122" i="3"/>
  <c r="C115" i="3"/>
  <c r="C114" i="3"/>
  <c r="C113" i="3"/>
  <c r="C112" i="3"/>
  <c r="C111" i="3"/>
  <c r="C104" i="3"/>
  <c r="C103" i="3"/>
  <c r="C102" i="3"/>
  <c r="C101" i="3"/>
  <c r="C100" i="3"/>
  <c r="C96" i="3"/>
  <c r="C95" i="3"/>
  <c r="C94" i="3"/>
  <c r="C93" i="3"/>
  <c r="C92" i="3"/>
  <c r="C91" i="3"/>
  <c r="C90" i="3"/>
  <c r="C86" i="3"/>
  <c r="C85" i="3"/>
  <c r="C84" i="3"/>
  <c r="C83" i="3"/>
  <c r="C76" i="3"/>
  <c r="C75" i="3"/>
  <c r="C74" i="3"/>
  <c r="C73" i="3"/>
  <c r="C72" i="3"/>
  <c r="C68" i="3"/>
  <c r="C67" i="3"/>
  <c r="C66" i="3"/>
  <c r="C65" i="3"/>
  <c r="C64" i="3"/>
  <c r="C60" i="3"/>
  <c r="C59" i="3"/>
  <c r="C58" i="3"/>
  <c r="C57" i="3"/>
  <c r="C56" i="3"/>
  <c r="C55" i="3"/>
  <c r="C54" i="3"/>
  <c r="C53" i="3"/>
  <c r="C49" i="3"/>
  <c r="C48" i="3"/>
  <c r="C47" i="3"/>
  <c r="C46" i="3"/>
  <c r="C45" i="3"/>
  <c r="C44" i="3"/>
  <c r="C43" i="3"/>
  <c r="C42" i="3"/>
  <c r="C33" i="3"/>
  <c r="C32" i="3"/>
  <c r="C31" i="3"/>
  <c r="C30" i="3"/>
  <c r="C26" i="3"/>
  <c r="C25" i="3"/>
  <c r="C24" i="3"/>
  <c r="C23" i="3"/>
  <c r="C22" i="3"/>
  <c r="N168" i="3"/>
  <c r="M168" i="3"/>
  <c r="L168" i="3"/>
  <c r="K168" i="3"/>
  <c r="J168" i="3"/>
  <c r="I168" i="3"/>
  <c r="H168" i="3"/>
  <c r="G168" i="3"/>
  <c r="F168" i="3"/>
  <c r="E168" i="3"/>
  <c r="B168" i="3"/>
  <c r="B13" i="3"/>
  <c r="N22" i="3"/>
  <c r="B12" i="3"/>
  <c r="M22" i="3"/>
  <c r="B11" i="3"/>
  <c r="L22" i="3"/>
  <c r="B10" i="3"/>
  <c r="K22" i="3"/>
  <c r="B9" i="3"/>
  <c r="J22" i="3"/>
  <c r="B8" i="3"/>
  <c r="I22" i="3"/>
  <c r="B7" i="3"/>
  <c r="H22" i="3"/>
  <c r="B6" i="3"/>
  <c r="G22" i="3"/>
  <c r="B5" i="3"/>
  <c r="F22" i="3"/>
  <c r="B4" i="3"/>
  <c r="E22" i="3"/>
  <c r="B22" i="3"/>
  <c r="N185" i="3"/>
  <c r="M185" i="3"/>
  <c r="L185" i="3"/>
  <c r="K185" i="3"/>
  <c r="J185" i="3"/>
  <c r="I185" i="3"/>
  <c r="H185" i="3"/>
  <c r="G185" i="3"/>
  <c r="F185" i="3"/>
  <c r="E185" i="3"/>
  <c r="B185" i="3"/>
  <c r="N184" i="3"/>
  <c r="M184" i="3"/>
  <c r="L184" i="3"/>
  <c r="K184" i="3"/>
  <c r="J184" i="3"/>
  <c r="I184" i="3"/>
  <c r="H184" i="3"/>
  <c r="G184" i="3"/>
  <c r="F184" i="3"/>
  <c r="E184" i="3"/>
  <c r="B184" i="3"/>
  <c r="N183" i="3"/>
  <c r="M183" i="3"/>
  <c r="L183" i="3"/>
  <c r="K183" i="3"/>
  <c r="J183" i="3"/>
  <c r="I183" i="3"/>
  <c r="H183" i="3"/>
  <c r="G183" i="3"/>
  <c r="F183" i="3"/>
  <c r="E183" i="3"/>
  <c r="B183" i="3"/>
  <c r="N182" i="3"/>
  <c r="M182" i="3"/>
  <c r="L182" i="3"/>
  <c r="K182" i="3"/>
  <c r="J182" i="3"/>
  <c r="I182" i="3"/>
  <c r="H182" i="3"/>
  <c r="G182" i="3"/>
  <c r="F182" i="3"/>
  <c r="E182" i="3"/>
  <c r="B182" i="3"/>
  <c r="N181" i="3"/>
  <c r="M181" i="3"/>
  <c r="L181" i="3"/>
  <c r="K181" i="3"/>
  <c r="J181" i="3"/>
  <c r="I181" i="3"/>
  <c r="H181" i="3"/>
  <c r="G181" i="3"/>
  <c r="F181" i="3"/>
  <c r="E181" i="3"/>
  <c r="B181" i="3"/>
  <c r="N180" i="3"/>
  <c r="M180" i="3"/>
  <c r="L180" i="3"/>
  <c r="K180" i="3"/>
  <c r="J180" i="3"/>
  <c r="I180" i="3"/>
  <c r="H180" i="3"/>
  <c r="G180" i="3"/>
  <c r="F180" i="3"/>
  <c r="E180" i="3"/>
  <c r="B180" i="3"/>
  <c r="D180" i="3"/>
  <c r="C180" i="3"/>
  <c r="N179" i="3"/>
  <c r="M179" i="3"/>
  <c r="L179" i="3"/>
  <c r="K179" i="3"/>
  <c r="J179" i="3"/>
  <c r="I179" i="3"/>
  <c r="H179" i="3"/>
  <c r="G179" i="3"/>
  <c r="F179" i="3"/>
  <c r="E179" i="3"/>
  <c r="B179" i="3"/>
  <c r="N178" i="3"/>
  <c r="M178" i="3"/>
  <c r="L178" i="3"/>
  <c r="K178" i="3"/>
  <c r="J178" i="3"/>
  <c r="I178" i="3"/>
  <c r="H178" i="3"/>
  <c r="G178" i="3"/>
  <c r="F178" i="3"/>
  <c r="E178" i="3"/>
  <c r="B178" i="3"/>
  <c r="N177" i="3"/>
  <c r="M177" i="3"/>
  <c r="L177" i="3"/>
  <c r="K177" i="3"/>
  <c r="J177" i="3"/>
  <c r="I177" i="3"/>
  <c r="H177" i="3"/>
  <c r="G177" i="3"/>
  <c r="F177" i="3"/>
  <c r="E177" i="3"/>
  <c r="B177" i="3"/>
  <c r="N176" i="3"/>
  <c r="M176" i="3"/>
  <c r="L176" i="3"/>
  <c r="K176" i="3"/>
  <c r="J176" i="3"/>
  <c r="I176" i="3"/>
  <c r="H176" i="3"/>
  <c r="G176" i="3"/>
  <c r="F176" i="3"/>
  <c r="E176" i="3"/>
  <c r="B176" i="3"/>
  <c r="N175" i="3"/>
  <c r="M175" i="3"/>
  <c r="L175" i="3"/>
  <c r="K175" i="3"/>
  <c r="J175" i="3"/>
  <c r="I175" i="3"/>
  <c r="H175" i="3"/>
  <c r="G175" i="3"/>
  <c r="F175" i="3"/>
  <c r="E175" i="3"/>
  <c r="B175" i="3"/>
  <c r="N174" i="3"/>
  <c r="M174" i="3"/>
  <c r="L174" i="3"/>
  <c r="K174" i="3"/>
  <c r="J174" i="3"/>
  <c r="I174" i="3"/>
  <c r="H174" i="3"/>
  <c r="G174" i="3"/>
  <c r="F174" i="3"/>
  <c r="E174" i="3"/>
  <c r="B174" i="3"/>
  <c r="N173" i="3"/>
  <c r="M173" i="3"/>
  <c r="L173" i="3"/>
  <c r="K173" i="3"/>
  <c r="J173" i="3"/>
  <c r="I173" i="3"/>
  <c r="H173" i="3"/>
  <c r="G173" i="3"/>
  <c r="F173" i="3"/>
  <c r="E173" i="3"/>
  <c r="B173" i="3"/>
  <c r="N172" i="3"/>
  <c r="M172" i="3"/>
  <c r="L172" i="3"/>
  <c r="K172" i="3"/>
  <c r="J172" i="3"/>
  <c r="I172" i="3"/>
  <c r="H172" i="3"/>
  <c r="G172" i="3"/>
  <c r="F172" i="3"/>
  <c r="E172" i="3"/>
  <c r="B172" i="3"/>
  <c r="D185" i="3"/>
  <c r="C185" i="3"/>
  <c r="D184" i="3"/>
  <c r="C184" i="3"/>
  <c r="D183" i="3"/>
  <c r="C183" i="3"/>
  <c r="D182" i="3"/>
  <c r="C182" i="3"/>
  <c r="D181" i="3"/>
  <c r="C181" i="3"/>
  <c r="D179" i="3"/>
  <c r="C179" i="3"/>
  <c r="D178" i="3"/>
  <c r="C178" i="3"/>
  <c r="D177" i="3"/>
  <c r="C177" i="3"/>
  <c r="D176" i="3"/>
  <c r="C176" i="3"/>
  <c r="D175" i="3"/>
  <c r="C175" i="3"/>
  <c r="D174" i="3"/>
  <c r="C174" i="3"/>
  <c r="D173" i="3"/>
  <c r="C173" i="3"/>
  <c r="D172" i="3"/>
  <c r="C172" i="3"/>
  <c r="N159" i="3"/>
  <c r="M159" i="3"/>
  <c r="L159" i="3"/>
  <c r="K159" i="3"/>
  <c r="J159" i="3"/>
  <c r="I159" i="3"/>
  <c r="H159" i="3"/>
  <c r="G159" i="3"/>
  <c r="F159" i="3"/>
  <c r="E159" i="3"/>
  <c r="B159" i="3"/>
  <c r="N158" i="3"/>
  <c r="M158" i="3"/>
  <c r="L158" i="3"/>
  <c r="K158" i="3"/>
  <c r="J158" i="3"/>
  <c r="I158" i="3"/>
  <c r="H158" i="3"/>
  <c r="G158" i="3"/>
  <c r="F158" i="3"/>
  <c r="E158" i="3"/>
  <c r="B158" i="3"/>
  <c r="N157" i="3"/>
  <c r="M157" i="3"/>
  <c r="L157" i="3"/>
  <c r="K157" i="3"/>
  <c r="J157" i="3"/>
  <c r="I157" i="3"/>
  <c r="H157" i="3"/>
  <c r="G157" i="3"/>
  <c r="F157" i="3"/>
  <c r="E157" i="3"/>
  <c r="B157" i="3"/>
  <c r="N156" i="3"/>
  <c r="M156" i="3"/>
  <c r="L156" i="3"/>
  <c r="K156" i="3"/>
  <c r="J156" i="3"/>
  <c r="I156" i="3"/>
  <c r="H156" i="3"/>
  <c r="G156" i="3"/>
  <c r="F156" i="3"/>
  <c r="E156" i="3"/>
  <c r="B156" i="3"/>
  <c r="N155" i="3"/>
  <c r="M155" i="3"/>
  <c r="L155" i="3"/>
  <c r="K155" i="3"/>
  <c r="J155" i="3"/>
  <c r="I155" i="3"/>
  <c r="H155" i="3"/>
  <c r="G155" i="3"/>
  <c r="F155" i="3"/>
  <c r="E155" i="3"/>
  <c r="B155" i="3"/>
  <c r="N148" i="3"/>
  <c r="M148" i="3"/>
  <c r="L148" i="3"/>
  <c r="K148" i="3"/>
  <c r="J148" i="3"/>
  <c r="I148" i="3"/>
  <c r="H148" i="3"/>
  <c r="G148" i="3"/>
  <c r="F148" i="3"/>
  <c r="E148" i="3"/>
  <c r="B148" i="3"/>
  <c r="N147" i="3"/>
  <c r="M147" i="3"/>
  <c r="L147" i="3"/>
  <c r="K147" i="3"/>
  <c r="J147" i="3"/>
  <c r="I147" i="3"/>
  <c r="H147" i="3"/>
  <c r="G147" i="3"/>
  <c r="F147" i="3"/>
  <c r="E147" i="3"/>
  <c r="B147" i="3"/>
  <c r="N146" i="3"/>
  <c r="M146" i="3"/>
  <c r="L146" i="3"/>
  <c r="K146" i="3"/>
  <c r="J146" i="3"/>
  <c r="I146" i="3"/>
  <c r="H146" i="3"/>
  <c r="G146" i="3"/>
  <c r="F146" i="3"/>
  <c r="E146" i="3"/>
  <c r="B146" i="3"/>
  <c r="N145" i="3"/>
  <c r="M145" i="3"/>
  <c r="L145" i="3"/>
  <c r="K145" i="3"/>
  <c r="J145" i="3"/>
  <c r="I145" i="3"/>
  <c r="H145" i="3"/>
  <c r="G145" i="3"/>
  <c r="F145" i="3"/>
  <c r="E145" i="3"/>
  <c r="B145" i="3"/>
  <c r="N144" i="3"/>
  <c r="M144" i="3"/>
  <c r="L144" i="3"/>
  <c r="K144" i="3"/>
  <c r="J144" i="3"/>
  <c r="I144" i="3"/>
  <c r="H144" i="3"/>
  <c r="G144" i="3"/>
  <c r="F144" i="3"/>
  <c r="E144" i="3"/>
  <c r="B144" i="3"/>
  <c r="N137" i="3"/>
  <c r="M137" i="3"/>
  <c r="L137" i="3"/>
  <c r="K137" i="3"/>
  <c r="J137" i="3"/>
  <c r="I137" i="3"/>
  <c r="H137" i="3"/>
  <c r="G137" i="3"/>
  <c r="F137" i="3"/>
  <c r="E137" i="3"/>
  <c r="B137" i="3"/>
  <c r="N136" i="3"/>
  <c r="M136" i="3"/>
  <c r="L136" i="3"/>
  <c r="K136" i="3"/>
  <c r="J136" i="3"/>
  <c r="I136" i="3"/>
  <c r="H136" i="3"/>
  <c r="G136" i="3"/>
  <c r="F136" i="3"/>
  <c r="E136" i="3"/>
  <c r="B136" i="3"/>
  <c r="N135" i="3"/>
  <c r="M135" i="3"/>
  <c r="L135" i="3"/>
  <c r="K135" i="3"/>
  <c r="J135" i="3"/>
  <c r="I135" i="3"/>
  <c r="H135" i="3"/>
  <c r="G135" i="3"/>
  <c r="F135" i="3"/>
  <c r="E135" i="3"/>
  <c r="B135" i="3"/>
  <c r="N134" i="3"/>
  <c r="M134" i="3"/>
  <c r="L134" i="3"/>
  <c r="K134" i="3"/>
  <c r="J134" i="3"/>
  <c r="I134" i="3"/>
  <c r="H134" i="3"/>
  <c r="G134" i="3"/>
  <c r="F134" i="3"/>
  <c r="E134" i="3"/>
  <c r="B134" i="3"/>
  <c r="N133" i="3"/>
  <c r="M133" i="3"/>
  <c r="L133" i="3"/>
  <c r="K133" i="3"/>
  <c r="J133" i="3"/>
  <c r="I133" i="3"/>
  <c r="H133" i="3"/>
  <c r="G133" i="3"/>
  <c r="F133" i="3"/>
  <c r="E133" i="3"/>
  <c r="B133" i="3"/>
  <c r="N126" i="3"/>
  <c r="M126" i="3"/>
  <c r="L126" i="3"/>
  <c r="K126" i="3"/>
  <c r="J126" i="3"/>
  <c r="I126" i="3"/>
  <c r="H126" i="3"/>
  <c r="G126" i="3"/>
  <c r="F126" i="3"/>
  <c r="E126" i="3"/>
  <c r="B126" i="3"/>
  <c r="N125" i="3"/>
  <c r="M125" i="3"/>
  <c r="L125" i="3"/>
  <c r="K125" i="3"/>
  <c r="J125" i="3"/>
  <c r="I125" i="3"/>
  <c r="H125" i="3"/>
  <c r="G125" i="3"/>
  <c r="F125" i="3"/>
  <c r="E125" i="3"/>
  <c r="B125" i="3"/>
  <c r="N124" i="3"/>
  <c r="M124" i="3"/>
  <c r="L124" i="3"/>
  <c r="K124" i="3"/>
  <c r="J124" i="3"/>
  <c r="I124" i="3"/>
  <c r="H124" i="3"/>
  <c r="G124" i="3"/>
  <c r="F124" i="3"/>
  <c r="E124" i="3"/>
  <c r="B124" i="3"/>
  <c r="N123" i="3"/>
  <c r="M123" i="3"/>
  <c r="L123" i="3"/>
  <c r="K123" i="3"/>
  <c r="J123" i="3"/>
  <c r="I123" i="3"/>
  <c r="H123" i="3"/>
  <c r="G123" i="3"/>
  <c r="F123" i="3"/>
  <c r="E123" i="3"/>
  <c r="B123" i="3"/>
  <c r="N122" i="3"/>
  <c r="M122" i="3"/>
  <c r="L122" i="3"/>
  <c r="K122" i="3"/>
  <c r="J122" i="3"/>
  <c r="I122" i="3"/>
  <c r="H122" i="3"/>
  <c r="G122" i="3"/>
  <c r="F122" i="3"/>
  <c r="E122" i="3"/>
  <c r="B122" i="3"/>
  <c r="N115" i="3"/>
  <c r="M115" i="3"/>
  <c r="L115" i="3"/>
  <c r="K115" i="3"/>
  <c r="J115" i="3"/>
  <c r="I115" i="3"/>
  <c r="H115" i="3"/>
  <c r="G115" i="3"/>
  <c r="F115" i="3"/>
  <c r="E115" i="3"/>
  <c r="N114" i="3"/>
  <c r="M114" i="3"/>
  <c r="L114" i="3"/>
  <c r="K114" i="3"/>
  <c r="J114" i="3"/>
  <c r="I114" i="3"/>
  <c r="H114" i="3"/>
  <c r="G114" i="3"/>
  <c r="F114" i="3"/>
  <c r="E114" i="3"/>
  <c r="N113" i="3"/>
  <c r="M113" i="3"/>
  <c r="L113" i="3"/>
  <c r="K113" i="3"/>
  <c r="J113" i="3"/>
  <c r="I113" i="3"/>
  <c r="H113" i="3"/>
  <c r="G113" i="3"/>
  <c r="F113" i="3"/>
  <c r="E113" i="3"/>
  <c r="N112" i="3"/>
  <c r="M112" i="3"/>
  <c r="L112" i="3"/>
  <c r="K112" i="3"/>
  <c r="J112" i="3"/>
  <c r="I112" i="3"/>
  <c r="H112" i="3"/>
  <c r="G112" i="3"/>
  <c r="F112" i="3"/>
  <c r="E112" i="3"/>
  <c r="N111" i="3"/>
  <c r="M111" i="3"/>
  <c r="L111" i="3"/>
  <c r="K111" i="3"/>
  <c r="J111" i="3"/>
  <c r="I111" i="3"/>
  <c r="H111" i="3"/>
  <c r="G111" i="3"/>
  <c r="F111" i="3"/>
  <c r="E111" i="3"/>
  <c r="B111" i="3"/>
  <c r="B115" i="3"/>
  <c r="B114" i="3"/>
  <c r="B113" i="3"/>
  <c r="B112" i="3"/>
  <c r="N104" i="3"/>
  <c r="M104" i="3"/>
  <c r="L104" i="3"/>
  <c r="K104" i="3"/>
  <c r="J104" i="3"/>
  <c r="I104" i="3"/>
  <c r="H104" i="3"/>
  <c r="G104" i="3"/>
  <c r="F104" i="3"/>
  <c r="E104" i="3"/>
  <c r="B104" i="3"/>
  <c r="N103" i="3"/>
  <c r="M103" i="3"/>
  <c r="L103" i="3"/>
  <c r="K103" i="3"/>
  <c r="J103" i="3"/>
  <c r="I103" i="3"/>
  <c r="H103" i="3"/>
  <c r="G103" i="3"/>
  <c r="F103" i="3"/>
  <c r="E103" i="3"/>
  <c r="B103" i="3"/>
  <c r="N102" i="3"/>
  <c r="M102" i="3"/>
  <c r="L102" i="3"/>
  <c r="K102" i="3"/>
  <c r="J102" i="3"/>
  <c r="I102" i="3"/>
  <c r="H102" i="3"/>
  <c r="G102" i="3"/>
  <c r="F102" i="3"/>
  <c r="E102" i="3"/>
  <c r="B102" i="3"/>
  <c r="N101" i="3"/>
  <c r="M101" i="3"/>
  <c r="L101" i="3"/>
  <c r="K101" i="3"/>
  <c r="J101" i="3"/>
  <c r="I101" i="3"/>
  <c r="H101" i="3"/>
  <c r="G101" i="3"/>
  <c r="F101" i="3"/>
  <c r="E101" i="3"/>
  <c r="B101" i="3"/>
  <c r="N100" i="3"/>
  <c r="M100" i="3"/>
  <c r="L100" i="3"/>
  <c r="K100" i="3"/>
  <c r="J100" i="3"/>
  <c r="I100" i="3"/>
  <c r="H100" i="3"/>
  <c r="G100" i="3"/>
  <c r="F100" i="3"/>
  <c r="E100" i="3"/>
  <c r="B100" i="3"/>
  <c r="N96" i="3"/>
  <c r="M96" i="3"/>
  <c r="L96" i="3"/>
  <c r="K96" i="3"/>
  <c r="J96" i="3"/>
  <c r="I96" i="3"/>
  <c r="H96" i="3"/>
  <c r="G96" i="3"/>
  <c r="F96" i="3"/>
  <c r="E96" i="3"/>
  <c r="B96" i="3"/>
  <c r="N95" i="3"/>
  <c r="M95" i="3"/>
  <c r="L95" i="3"/>
  <c r="K95" i="3"/>
  <c r="J95" i="3"/>
  <c r="I95" i="3"/>
  <c r="H95" i="3"/>
  <c r="G95" i="3"/>
  <c r="F95" i="3"/>
  <c r="E95" i="3"/>
  <c r="B95" i="3"/>
  <c r="N94" i="3"/>
  <c r="M94" i="3"/>
  <c r="L94" i="3"/>
  <c r="K94" i="3"/>
  <c r="J94" i="3"/>
  <c r="I94" i="3"/>
  <c r="H94" i="3"/>
  <c r="G94" i="3"/>
  <c r="F94" i="3"/>
  <c r="E94" i="3"/>
  <c r="B94" i="3"/>
  <c r="N93" i="3"/>
  <c r="M93" i="3"/>
  <c r="L93" i="3"/>
  <c r="K93" i="3"/>
  <c r="J93" i="3"/>
  <c r="I93" i="3"/>
  <c r="H93" i="3"/>
  <c r="G93" i="3"/>
  <c r="F93" i="3"/>
  <c r="E93" i="3"/>
  <c r="B93" i="3"/>
  <c r="N92" i="3"/>
  <c r="M92" i="3"/>
  <c r="L92" i="3"/>
  <c r="K92" i="3"/>
  <c r="J92" i="3"/>
  <c r="I92" i="3"/>
  <c r="H92" i="3"/>
  <c r="G92" i="3"/>
  <c r="F92" i="3"/>
  <c r="E92" i="3"/>
  <c r="B92" i="3"/>
  <c r="N91" i="3"/>
  <c r="M91" i="3"/>
  <c r="L91" i="3"/>
  <c r="K91" i="3"/>
  <c r="J91" i="3"/>
  <c r="I91" i="3"/>
  <c r="H91" i="3"/>
  <c r="G91" i="3"/>
  <c r="F91" i="3"/>
  <c r="E91" i="3"/>
  <c r="B91" i="3"/>
  <c r="B90" i="3"/>
  <c r="N90" i="3"/>
  <c r="M90" i="3"/>
  <c r="L90" i="3"/>
  <c r="K90" i="3"/>
  <c r="J90" i="3"/>
  <c r="I90" i="3"/>
  <c r="H90" i="3"/>
  <c r="G90" i="3"/>
  <c r="F90" i="3"/>
  <c r="E90" i="3"/>
  <c r="B84" i="3"/>
  <c r="N86" i="3"/>
  <c r="M86" i="3"/>
  <c r="L86" i="3"/>
  <c r="K86" i="3"/>
  <c r="J86" i="3"/>
  <c r="I86" i="3"/>
  <c r="H86" i="3"/>
  <c r="G86" i="3"/>
  <c r="F86" i="3"/>
  <c r="E86" i="3"/>
  <c r="B86" i="3"/>
  <c r="N85" i="3"/>
  <c r="M85" i="3"/>
  <c r="L85" i="3"/>
  <c r="K85" i="3"/>
  <c r="J85" i="3"/>
  <c r="I85" i="3"/>
  <c r="H85" i="3"/>
  <c r="G85" i="3"/>
  <c r="F85" i="3"/>
  <c r="E85" i="3"/>
  <c r="B85" i="3"/>
  <c r="N84" i="3"/>
  <c r="M84" i="3"/>
  <c r="L84" i="3"/>
  <c r="K84" i="3"/>
  <c r="J84" i="3"/>
  <c r="I84" i="3"/>
  <c r="H84" i="3"/>
  <c r="G84" i="3"/>
  <c r="F84" i="3"/>
  <c r="E84" i="3"/>
  <c r="N83" i="3"/>
  <c r="M83" i="3"/>
  <c r="L83" i="3"/>
  <c r="K83" i="3"/>
  <c r="J83" i="3"/>
  <c r="I83" i="3"/>
  <c r="H83" i="3"/>
  <c r="G83" i="3"/>
  <c r="F83" i="3"/>
  <c r="E83" i="3"/>
  <c r="B83" i="3"/>
  <c r="B72" i="3"/>
  <c r="N76" i="3"/>
  <c r="M76" i="3"/>
  <c r="L76" i="3"/>
  <c r="K76" i="3"/>
  <c r="J76" i="3"/>
  <c r="I76" i="3"/>
  <c r="H76" i="3"/>
  <c r="G76" i="3"/>
  <c r="F76" i="3"/>
  <c r="E76" i="3"/>
  <c r="B76" i="3"/>
  <c r="N75" i="3"/>
  <c r="M75" i="3"/>
  <c r="L75" i="3"/>
  <c r="K75" i="3"/>
  <c r="J75" i="3"/>
  <c r="I75" i="3"/>
  <c r="H75" i="3"/>
  <c r="G75" i="3"/>
  <c r="F75" i="3"/>
  <c r="E75" i="3"/>
  <c r="B75" i="3"/>
  <c r="N74" i="3"/>
  <c r="M74" i="3"/>
  <c r="L74" i="3"/>
  <c r="K74" i="3"/>
  <c r="J74" i="3"/>
  <c r="I74" i="3"/>
  <c r="H74" i="3"/>
  <c r="G74" i="3"/>
  <c r="F74" i="3"/>
  <c r="E74" i="3"/>
  <c r="B74" i="3"/>
  <c r="N73" i="3"/>
  <c r="M73" i="3"/>
  <c r="L73" i="3"/>
  <c r="K73" i="3"/>
  <c r="J73" i="3"/>
  <c r="I73" i="3"/>
  <c r="H73" i="3"/>
  <c r="G73" i="3"/>
  <c r="F73" i="3"/>
  <c r="E73" i="3"/>
  <c r="B73" i="3"/>
  <c r="N72" i="3"/>
  <c r="M72" i="3"/>
  <c r="L72" i="3"/>
  <c r="K72" i="3"/>
  <c r="J72" i="3"/>
  <c r="I72" i="3"/>
  <c r="H72" i="3"/>
  <c r="G72" i="3"/>
  <c r="F72" i="3"/>
  <c r="E72" i="3"/>
  <c r="N68" i="3"/>
  <c r="M68" i="3"/>
  <c r="L68" i="3"/>
  <c r="K68" i="3"/>
  <c r="J68" i="3"/>
  <c r="I68" i="3"/>
  <c r="H68" i="3"/>
  <c r="G68" i="3"/>
  <c r="F68" i="3"/>
  <c r="E68" i="3"/>
  <c r="B68" i="3"/>
  <c r="N67" i="3"/>
  <c r="M67" i="3"/>
  <c r="L67" i="3"/>
  <c r="K67" i="3"/>
  <c r="J67" i="3"/>
  <c r="I67" i="3"/>
  <c r="H67" i="3"/>
  <c r="G67" i="3"/>
  <c r="F67" i="3"/>
  <c r="E67" i="3"/>
  <c r="B67" i="3"/>
  <c r="N66" i="3"/>
  <c r="M66" i="3"/>
  <c r="L66" i="3"/>
  <c r="K66" i="3"/>
  <c r="J66" i="3"/>
  <c r="I66" i="3"/>
  <c r="H66" i="3"/>
  <c r="G66" i="3"/>
  <c r="F66" i="3"/>
  <c r="E66" i="3"/>
  <c r="B66" i="3"/>
  <c r="N65" i="3"/>
  <c r="M65" i="3"/>
  <c r="L65" i="3"/>
  <c r="K65" i="3"/>
  <c r="J65" i="3"/>
  <c r="I65" i="3"/>
  <c r="H65" i="3"/>
  <c r="G65" i="3"/>
  <c r="F65" i="3"/>
  <c r="E65" i="3"/>
  <c r="B65" i="3"/>
  <c r="B64" i="3"/>
  <c r="N64" i="3"/>
  <c r="M64" i="3"/>
  <c r="L64" i="3"/>
  <c r="K64" i="3"/>
  <c r="J64" i="3"/>
  <c r="I64" i="3"/>
  <c r="H64" i="3"/>
  <c r="G64" i="3"/>
  <c r="F64" i="3"/>
  <c r="E64" i="3"/>
  <c r="N60" i="3"/>
  <c r="M60" i="3"/>
  <c r="L60" i="3"/>
  <c r="K60" i="3"/>
  <c r="J60" i="3"/>
  <c r="I60" i="3"/>
  <c r="H60" i="3"/>
  <c r="G60" i="3"/>
  <c r="F60" i="3"/>
  <c r="E60" i="3"/>
  <c r="N59" i="3"/>
  <c r="M59" i="3"/>
  <c r="L59" i="3"/>
  <c r="K59" i="3"/>
  <c r="J59" i="3"/>
  <c r="I59" i="3"/>
  <c r="H59" i="3"/>
  <c r="G59" i="3"/>
  <c r="F59" i="3"/>
  <c r="E59" i="3"/>
  <c r="N58" i="3"/>
  <c r="M58" i="3"/>
  <c r="L58" i="3"/>
  <c r="K58" i="3"/>
  <c r="J58" i="3"/>
  <c r="I58" i="3"/>
  <c r="H58" i="3"/>
  <c r="G58" i="3"/>
  <c r="F58" i="3"/>
  <c r="E58" i="3"/>
  <c r="N57" i="3"/>
  <c r="M57" i="3"/>
  <c r="L57" i="3"/>
  <c r="K57" i="3"/>
  <c r="J57" i="3"/>
  <c r="I57" i="3"/>
  <c r="H57" i="3"/>
  <c r="G57" i="3"/>
  <c r="F57" i="3"/>
  <c r="E57" i="3"/>
  <c r="N56" i="3"/>
  <c r="M56" i="3"/>
  <c r="L56" i="3"/>
  <c r="K56" i="3"/>
  <c r="J56" i="3"/>
  <c r="I56" i="3"/>
  <c r="H56" i="3"/>
  <c r="G56" i="3"/>
  <c r="F56" i="3"/>
  <c r="E56" i="3"/>
  <c r="N55" i="3"/>
  <c r="M55" i="3"/>
  <c r="L55" i="3"/>
  <c r="K55" i="3"/>
  <c r="J55" i="3"/>
  <c r="I55" i="3"/>
  <c r="H55" i="3"/>
  <c r="G55" i="3"/>
  <c r="F55" i="3"/>
  <c r="E55" i="3"/>
  <c r="N54" i="3"/>
  <c r="M54" i="3"/>
  <c r="L54" i="3"/>
  <c r="K54" i="3"/>
  <c r="J54" i="3"/>
  <c r="I54" i="3"/>
  <c r="H54" i="3"/>
  <c r="G54" i="3"/>
  <c r="F54" i="3"/>
  <c r="E54" i="3"/>
  <c r="N53" i="3"/>
  <c r="M53" i="3"/>
  <c r="L53" i="3"/>
  <c r="K53" i="3"/>
  <c r="J53" i="3"/>
  <c r="I53" i="3"/>
  <c r="H53" i="3"/>
  <c r="G53" i="3"/>
  <c r="F53" i="3"/>
  <c r="E53" i="3"/>
  <c r="B53" i="3"/>
  <c r="N49" i="3"/>
  <c r="M49" i="3"/>
  <c r="L49" i="3"/>
  <c r="K49" i="3"/>
  <c r="J49" i="3"/>
  <c r="I49" i="3"/>
  <c r="H49" i="3"/>
  <c r="G49" i="3"/>
  <c r="F49" i="3"/>
  <c r="E49" i="3"/>
  <c r="B49" i="3"/>
  <c r="N48" i="3"/>
  <c r="M48" i="3"/>
  <c r="L48" i="3"/>
  <c r="K48" i="3"/>
  <c r="J48" i="3"/>
  <c r="I48" i="3"/>
  <c r="H48" i="3"/>
  <c r="G48" i="3"/>
  <c r="F48" i="3"/>
  <c r="E48" i="3"/>
  <c r="B48" i="3"/>
  <c r="N47" i="3"/>
  <c r="M47" i="3"/>
  <c r="L47" i="3"/>
  <c r="K47" i="3"/>
  <c r="J47" i="3"/>
  <c r="I47" i="3"/>
  <c r="H47" i="3"/>
  <c r="G47" i="3"/>
  <c r="F47" i="3"/>
  <c r="E47" i="3"/>
  <c r="B47" i="3"/>
  <c r="N46" i="3"/>
  <c r="M46" i="3"/>
  <c r="L46" i="3"/>
  <c r="K46" i="3"/>
  <c r="J46" i="3"/>
  <c r="I46" i="3"/>
  <c r="H46" i="3"/>
  <c r="G46" i="3"/>
  <c r="F46" i="3"/>
  <c r="E46" i="3"/>
  <c r="B46" i="3"/>
  <c r="N45" i="3"/>
  <c r="M45" i="3"/>
  <c r="L45" i="3"/>
  <c r="K45" i="3"/>
  <c r="J45" i="3"/>
  <c r="I45" i="3"/>
  <c r="H45" i="3"/>
  <c r="G45" i="3"/>
  <c r="F45" i="3"/>
  <c r="E45" i="3"/>
  <c r="B45" i="3"/>
  <c r="N44" i="3"/>
  <c r="M44" i="3"/>
  <c r="L44" i="3"/>
  <c r="K44" i="3"/>
  <c r="J44" i="3"/>
  <c r="I44" i="3"/>
  <c r="H44" i="3"/>
  <c r="G44" i="3"/>
  <c r="F44" i="3"/>
  <c r="E44" i="3"/>
  <c r="B44" i="3"/>
  <c r="N43" i="3"/>
  <c r="M43" i="3"/>
  <c r="L43" i="3"/>
  <c r="K43" i="3"/>
  <c r="J43" i="3"/>
  <c r="I43" i="3"/>
  <c r="H43" i="3"/>
  <c r="G43" i="3"/>
  <c r="F43" i="3"/>
  <c r="E43" i="3"/>
  <c r="B43" i="3"/>
  <c r="N42" i="3"/>
  <c r="M42" i="3"/>
  <c r="L42" i="3"/>
  <c r="K42" i="3"/>
  <c r="J42" i="3"/>
  <c r="I42" i="3"/>
  <c r="H42" i="3"/>
  <c r="G42" i="3"/>
  <c r="F42" i="3"/>
  <c r="E42" i="3"/>
  <c r="B42" i="3"/>
  <c r="F30" i="3"/>
  <c r="E30" i="3"/>
  <c r="N33" i="3"/>
  <c r="M33" i="3"/>
  <c r="L33" i="3"/>
  <c r="K33" i="3"/>
  <c r="J33" i="3"/>
  <c r="I33" i="3"/>
  <c r="H33" i="3"/>
  <c r="G33" i="3"/>
  <c r="F33" i="3"/>
  <c r="B33" i="3"/>
  <c r="F32" i="3"/>
  <c r="E33" i="3"/>
  <c r="E32" i="3"/>
  <c r="N32" i="3"/>
  <c r="M32" i="3"/>
  <c r="L32" i="3"/>
  <c r="K32" i="3"/>
  <c r="J32" i="3"/>
  <c r="I32" i="3"/>
  <c r="H32" i="3"/>
  <c r="G32" i="3"/>
  <c r="B32" i="3"/>
  <c r="F31" i="3"/>
  <c r="E31" i="3"/>
  <c r="N31" i="3"/>
  <c r="M31" i="3"/>
  <c r="L31" i="3"/>
  <c r="K31" i="3"/>
  <c r="J31" i="3"/>
  <c r="I31" i="3"/>
  <c r="H31" i="3"/>
  <c r="G31" i="3"/>
  <c r="B31" i="3"/>
  <c r="N30" i="3"/>
  <c r="M30" i="3"/>
  <c r="L30" i="3"/>
  <c r="K30" i="3"/>
  <c r="J30" i="3"/>
  <c r="I30" i="3"/>
  <c r="H30" i="3"/>
  <c r="G30" i="3"/>
  <c r="F26" i="3"/>
  <c r="B30" i="3"/>
  <c r="N26" i="3"/>
  <c r="M26" i="3"/>
  <c r="L26" i="3"/>
  <c r="K26" i="3"/>
  <c r="J26" i="3"/>
  <c r="I26" i="3"/>
  <c r="H26" i="3"/>
  <c r="G26" i="3"/>
  <c r="B26" i="3"/>
  <c r="F25" i="3"/>
  <c r="E26" i="3"/>
  <c r="E25" i="3"/>
  <c r="N25" i="3"/>
  <c r="M25" i="3"/>
  <c r="L25" i="3"/>
  <c r="K25" i="3"/>
  <c r="J25" i="3"/>
  <c r="I25" i="3"/>
  <c r="H25" i="3"/>
  <c r="G25" i="3"/>
  <c r="F24" i="3"/>
  <c r="B25" i="3"/>
  <c r="E24" i="3"/>
  <c r="N24" i="3"/>
  <c r="M24" i="3"/>
  <c r="L24" i="3"/>
  <c r="K24" i="3"/>
  <c r="J24" i="3"/>
  <c r="I24" i="3"/>
  <c r="H24" i="3"/>
  <c r="G24" i="3"/>
  <c r="F23" i="3"/>
  <c r="B24" i="3"/>
  <c r="E23" i="3"/>
  <c r="N23" i="3"/>
  <c r="M23" i="3"/>
  <c r="L23" i="3"/>
  <c r="K23" i="3"/>
  <c r="J23" i="3"/>
  <c r="I23" i="3"/>
  <c r="H23" i="3"/>
  <c r="G23" i="3"/>
  <c r="B23" i="3"/>
  <c r="B54" i="3"/>
  <c r="B60" i="3"/>
  <c r="B59" i="3"/>
  <c r="B58" i="3"/>
  <c r="B57" i="3"/>
  <c r="B56" i="3"/>
  <c r="B55" i="3"/>
</calcChain>
</file>

<file path=xl/sharedStrings.xml><?xml version="1.0" encoding="utf-8"?>
<sst xmlns="http://schemas.openxmlformats.org/spreadsheetml/2006/main" count="428" uniqueCount="131">
  <si>
    <t>1.1 How well can you speak the language?</t>
  </si>
  <si>
    <t>Fluently</t>
  </si>
  <si>
    <t>Somewhat fluently</t>
  </si>
  <si>
    <t>Not very well</t>
  </si>
  <si>
    <t>Know some vocabulary</t>
  </si>
  <si>
    <t>Not at all</t>
  </si>
  <si>
    <t>1.2 How well do you estimate that you can understand the language?</t>
  </si>
  <si>
    <t>Very well</t>
  </si>
  <si>
    <t>Understand most</t>
  </si>
  <si>
    <t>Understand some</t>
  </si>
  <si>
    <t>1.3 Are you currently learning the language?</t>
  </si>
  <si>
    <t>Yes</t>
  </si>
  <si>
    <t>No</t>
  </si>
  <si>
    <t>21-40</t>
  </si>
  <si>
    <t>41-100</t>
  </si>
  <si>
    <t>101-200</t>
  </si>
  <si>
    <t>201-300</t>
  </si>
  <si>
    <t>301-400</t>
  </si>
  <si>
    <t>Over 400</t>
  </si>
  <si>
    <t>0-20</t>
  </si>
  <si>
    <t>1.4 How many words do you estimate you can say in the language?</t>
  </si>
  <si>
    <t>1.5 How many words do you estimate you can understand in the language?</t>
  </si>
  <si>
    <t>1.4 How many words do you estimate you can say in the language? (0; 0-20; 21-40; 41-100; 101-200; 201-300; 301-400; Over 400)</t>
  </si>
  <si>
    <t>1.5 How many words do you estimate you can understand in the language? (0; 0-20; 21-40; 41-100; 101-200; 201-300; 301-400; Over 400)</t>
  </si>
  <si>
    <t>1.6 How many fluent speakers do you know? (0; 1-3; 4-6; 7-10; 10 or more)</t>
  </si>
  <si>
    <t>1.6 How many fluent speakers do you know?</t>
  </si>
  <si>
    <t>1-3</t>
  </si>
  <si>
    <t>4-6</t>
  </si>
  <si>
    <t>7-10</t>
  </si>
  <si>
    <t>10 or more</t>
  </si>
  <si>
    <t>1.7 How often do you interact with a fluent speaker?</t>
  </si>
  <si>
    <t>Daily</t>
  </si>
  <si>
    <t>Weekly</t>
  </si>
  <si>
    <t>Monthly</t>
  </si>
  <si>
    <t>Sometimes</t>
  </si>
  <si>
    <t>Never</t>
  </si>
  <si>
    <t>1.8 Identification of fluent speakers in community (OPEN ENDED)</t>
  </si>
  <si>
    <t>1.8 Identification of fluent speakers (OPEN ENDED)</t>
  </si>
  <si>
    <t>1.9 How much do you and your family use the language at home?</t>
  </si>
  <si>
    <t>Always</t>
  </si>
  <si>
    <t>Very little</t>
  </si>
  <si>
    <t>0.3 Nation or Community</t>
  </si>
  <si>
    <t>0.4 Language Dialect</t>
  </si>
  <si>
    <t>By Gender</t>
  </si>
  <si>
    <t>Male</t>
  </si>
  <si>
    <t>Female</t>
  </si>
  <si>
    <t>By Age</t>
  </si>
  <si>
    <t>1.12 Use of language at work (OPEN ENDED)</t>
  </si>
  <si>
    <t>1.14 Use of language at school (OPEN ENDED)</t>
  </si>
  <si>
    <t>1.16 Use of language at community events (OPEN ENDED)</t>
  </si>
  <si>
    <t>1.18 Use of language at traditional or ceremonial gatherings (OPEN ENDED)</t>
  </si>
  <si>
    <t>1.11 How much do you use or hear the language at work at the present time? (Always, Sometimes, Very Little, Never, NA)</t>
  </si>
  <si>
    <t>1.20 Use of language at church (OPEN ENDED)</t>
  </si>
  <si>
    <t>1.21 To what extent do you use or hear the language at your First Nations government activities? (Always, Sometimes, Very Little, Never, NA)</t>
  </si>
  <si>
    <t>1.22 Use of language at your First Nations government activities? (OPEN ENDED)</t>
  </si>
  <si>
    <t>0-4</t>
  </si>
  <si>
    <t>15-19</t>
  </si>
  <si>
    <t>20-24</t>
  </si>
  <si>
    <t>25-44</t>
  </si>
  <si>
    <t>45-54</t>
  </si>
  <si>
    <t>55-64</t>
  </si>
  <si>
    <t>75-84</t>
  </si>
  <si>
    <t>M</t>
  </si>
  <si>
    <t>F</t>
  </si>
  <si>
    <t>Totals</t>
  </si>
  <si>
    <t>85+</t>
  </si>
  <si>
    <t>5-14</t>
  </si>
  <si>
    <t>65-74</t>
  </si>
  <si>
    <t>Data entered in this column will not be tabulated in Excel. You can use the Mail Merge function in Word to connect a Word document to this Excel template to present open ended response data collected in this column, if you choose to do so.</t>
  </si>
  <si>
    <t>1.10 Who speaks the language in your home at the present time?</t>
  </si>
  <si>
    <t>Grandmother</t>
  </si>
  <si>
    <t>Grandfather</t>
  </si>
  <si>
    <t>Mother</t>
  </si>
  <si>
    <t>Father</t>
  </si>
  <si>
    <t>Brothers, Sisters</t>
  </si>
  <si>
    <t>None</t>
  </si>
  <si>
    <t>Other</t>
  </si>
  <si>
    <t>Very Little</t>
  </si>
  <si>
    <t>NA</t>
  </si>
  <si>
    <t>1.13 How much do you use or hear the language at school at the present time? (Always, Sometimes, Very Little, Never, NA)</t>
  </si>
  <si>
    <t>1.15 How much do you use or hear the language at community gatherings at the present time? (Always, Sometimes, Very Little, Never, NA)</t>
  </si>
  <si>
    <t>1.16 Use of language at community gatherings (OPEN ENDED)</t>
  </si>
  <si>
    <t>1.17 How much do you use or hear the language at traditional or ceremonial gatherings at the present time? (Always, Sometimes, Very Little, Never, NA)</t>
  </si>
  <si>
    <t>1.19 How much do you use or hear the language at church at the present time? (Always, Sometimes, Very Little, Never, NA)</t>
  </si>
  <si>
    <t>1.22 Use of language at First Nations Government activities (OPEN ENDED)</t>
  </si>
  <si>
    <t>2.1 Would you be interested in learning the language?</t>
  </si>
  <si>
    <t>Not Sure</t>
  </si>
  <si>
    <t>Frequency of rank</t>
  </si>
  <si>
    <t>1st</t>
  </si>
  <si>
    <t>2nd</t>
  </si>
  <si>
    <t>3rd</t>
  </si>
  <si>
    <t>2.2 Top three reasons for learning langauge</t>
  </si>
  <si>
    <t>Culture</t>
  </si>
  <si>
    <t>Ancestors</t>
  </si>
  <si>
    <t>Family</t>
  </si>
  <si>
    <t>Friends</t>
  </si>
  <si>
    <t>Elders</t>
  </si>
  <si>
    <t>Community</t>
  </si>
  <si>
    <t>Ceremony</t>
  </si>
  <si>
    <t>Workplace</t>
  </si>
  <si>
    <t>Knowledge</t>
  </si>
  <si>
    <t>Nation</t>
  </si>
  <si>
    <t>Read</t>
  </si>
  <si>
    <t>Understand</t>
  </si>
  <si>
    <t>Alive</t>
  </si>
  <si>
    <t>By Age (ONLY FOR 1ST RANKING)</t>
  </si>
  <si>
    <t>Data entered in this column will not be tabulated in Excel. You can use the Mail Merge function in Word.</t>
  </si>
  <si>
    <t>Participant (random number or, if not anonymous use name or email or other contact)</t>
  </si>
  <si>
    <t>0.1 Age of participants</t>
  </si>
  <si>
    <t>0.2 Gender of participants</t>
  </si>
  <si>
    <t>2.1 Would you be interested in learning the language? (y, n, not sure)</t>
  </si>
  <si>
    <t>0.2 Gender (m, f)</t>
  </si>
  <si>
    <t>0.1 Age (#)</t>
  </si>
  <si>
    <t>1.1 How well can you speak the language? (fluent, somewhat fluent, not very well, know some vocabulary, not at all)</t>
  </si>
  <si>
    <t>1.3 Are you currently learning the language? (y, n)</t>
  </si>
  <si>
    <t>1.2 How well do you estimate that you can understand the language? (very well, understand most, understand some, not at all)</t>
  </si>
  <si>
    <t>1.7 How often do you interact with a fluent speaker? (daily, weekly, monthly, sometimes, never)</t>
  </si>
  <si>
    <t>Total</t>
  </si>
  <si>
    <t>Total number of participants</t>
  </si>
  <si>
    <t>ENTER #</t>
  </si>
  <si>
    <t>1.9 How much do you and your family use the language at home? (always, sometimes, very little, never)</t>
  </si>
  <si>
    <t xml:space="preserve">1.10 Who speaks the language in your home at the present time? (grandmother, grandfather, mother, father, brother (includes Brothers, Sisters), none, other </t>
  </si>
  <si>
    <t>1.11 How much do you use or hear the language at work at the present time? (always, sometimes, very little, never, na)</t>
  </si>
  <si>
    <t>1.13 How often do you use or hear the language at school at the present time?  (always, sometimes, very little, never, na)</t>
  </si>
  <si>
    <t>1.15 To what extent do you use or hear the language at community gatherings?  (always, sometimes, very little, never, na)</t>
  </si>
  <si>
    <t>1.17 To what extent do you use or hear the language at traditional or ceremonial gatherings?   (always, sometimes, very little, never, na)</t>
  </si>
  <si>
    <t>1.19 To what extent do you use or hear the language at church at the present time?  (always, sometimes, very little, never, na)</t>
  </si>
  <si>
    <t>1.21 To what extent do you use or hear the language at your First Nations government activities?  (always, sometimes, very little, never, na)</t>
  </si>
  <si>
    <t>2.2 FIRST RANKING: If you are interested in learning the language, please rank THE NUMBER ONE REASON (answers are written as "culture", "ancestors", "family", "friends", "elders", "community", "ceremony", "workplace", "knowledge", "nation", "read", "understand", "alive", and "other")</t>
  </si>
  <si>
    <t>2.2 SECOND RANKING:  If you are interested in learning the language, please rank THE NUMBER TWO REASON (answers are written as "culture", "ancestors", "family", "friends", "elders", "community", "ceremony", "workplace", "knowledge", "nation", "read", "understand", "alive", and "other")</t>
  </si>
  <si>
    <t>2.2 THIRD RANKING: If you are interested in learning the language, please rank THE NUMBER THREE REASON (answers are written as "culture", "ancestors", "family", "friends", "elders", "community", "ceremony", "workplace", "knowledge", "nation", "read", "understand", "alive", and "other")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</si>
</sst>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rgb="FF000000"/>
      <name val="Calibri"/>
      <family val="2"/>
      <scheme val="minor"/>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right style="double">
        <color auto="1"/>
      </right>
      <top style="thin">
        <color auto="1"/>
      </top>
      <bottom style="thin">
        <color auto="1"/>
      </bottom>
      <diagonal/>
    </border>
    <border>
      <left style="thin">
        <color auto="1"/>
      </left>
      <right style="double">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s>
  <cellStyleXfs count="18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5">
    <xf numFmtId="0" fontId="0" fillId="0" borderId="0" xfId="0"/>
    <xf numFmtId="0" fontId="0" fillId="0" borderId="0" xfId="0" applyAlignment="1">
      <alignment wrapText="1"/>
    </xf>
    <xf numFmtId="49" fontId="0" fillId="0" borderId="0" xfId="0" applyNumberFormat="1"/>
    <xf numFmtId="49" fontId="0" fillId="0" borderId="1" xfId="0" applyNumberFormat="1" applyBorder="1"/>
    <xf numFmtId="0" fontId="0" fillId="0" borderId="1" xfId="0" applyBorder="1"/>
    <xf numFmtId="0" fontId="0" fillId="0" borderId="1" xfId="0" quotePrefix="1" applyBorder="1"/>
    <xf numFmtId="49" fontId="0" fillId="0" borderId="1" xfId="0" applyNumberFormat="1" applyBorder="1" applyAlignment="1">
      <alignment wrapText="1"/>
    </xf>
    <xf numFmtId="0" fontId="0" fillId="0" borderId="4" xfId="0" applyBorder="1"/>
    <xf numFmtId="49" fontId="0" fillId="0" borderId="5" xfId="0" applyNumberFormat="1" applyBorder="1" applyAlignment="1">
      <alignment wrapText="1"/>
    </xf>
    <xf numFmtId="49" fontId="0" fillId="0" borderId="6" xfId="0" applyNumberFormat="1" applyBorder="1"/>
    <xf numFmtId="0" fontId="0" fillId="0" borderId="4" xfId="0" quotePrefix="1" applyBorder="1"/>
    <xf numFmtId="0" fontId="0" fillId="0" borderId="9" xfId="0" applyBorder="1" applyAlignment="1">
      <alignment wrapText="1"/>
    </xf>
    <xf numFmtId="0" fontId="0" fillId="0" borderId="11" xfId="0" applyBorder="1"/>
    <xf numFmtId="0" fontId="0" fillId="0" borderId="8" xfId="0" applyBorder="1"/>
    <xf numFmtId="49" fontId="0" fillId="0" borderId="7" xfId="0" applyNumberFormat="1" applyBorder="1" applyAlignment="1">
      <alignment wrapText="1"/>
    </xf>
    <xf numFmtId="0" fontId="4" fillId="0" borderId="1" xfId="0" applyFont="1" applyBorder="1" applyAlignment="1">
      <alignment wrapText="1"/>
    </xf>
    <xf numFmtId="0" fontId="4" fillId="0" borderId="1" xfId="0" applyFont="1" applyBorder="1"/>
    <xf numFmtId="0" fontId="4" fillId="0" borderId="4" xfId="0" applyFont="1" applyBorder="1"/>
    <xf numFmtId="0" fontId="4" fillId="0" borderId="9" xfId="0" applyFont="1" applyBorder="1" applyAlignment="1">
      <alignment wrapText="1"/>
    </xf>
    <xf numFmtId="0" fontId="4" fillId="0" borderId="10" xfId="0" applyFont="1" applyBorder="1"/>
    <xf numFmtId="49" fontId="0" fillId="0" borderId="5" xfId="0" applyNumberFormat="1" applyBorder="1"/>
    <xf numFmtId="0" fontId="0" fillId="0" borderId="9" xfId="0" applyBorder="1"/>
    <xf numFmtId="0" fontId="0" fillId="0" borderId="3" xfId="0" applyBorder="1"/>
    <xf numFmtId="0" fontId="0" fillId="0" borderId="5" xfId="0" applyBorder="1"/>
    <xf numFmtId="49" fontId="0" fillId="0" borderId="2" xfId="0" applyNumberFormat="1" applyBorder="1"/>
    <xf numFmtId="0" fontId="0" fillId="0" borderId="2" xfId="0" applyBorder="1"/>
    <xf numFmtId="0" fontId="4" fillId="0" borderId="8" xfId="0" applyFont="1" applyBorder="1" applyAlignment="1">
      <alignment wrapText="1"/>
    </xf>
    <xf numFmtId="0" fontId="4" fillId="0" borderId="8" xfId="0" applyFont="1" applyBorder="1"/>
    <xf numFmtId="0" fontId="0" fillId="2" borderId="1" xfId="0" applyFill="1" applyBorder="1" applyAlignment="1">
      <alignment wrapText="1"/>
    </xf>
    <xf numFmtId="49" fontId="0" fillId="2" borderId="1" xfId="0" applyNumberFormat="1" applyFill="1" applyBorder="1" applyAlignment="1">
      <alignment wrapText="1"/>
    </xf>
    <xf numFmtId="49" fontId="0" fillId="0" borderId="19" xfId="0" applyNumberFormat="1" applyBorder="1"/>
    <xf numFmtId="0" fontId="0" fillId="0" borderId="19" xfId="0" applyBorder="1"/>
    <xf numFmtId="0" fontId="0" fillId="0" borderId="1" xfId="0" applyBorder="1" applyAlignment="1">
      <alignment wrapText="1"/>
    </xf>
    <xf numFmtId="0" fontId="4" fillId="0" borderId="1" xfId="0" applyFont="1" applyBorder="1" applyAlignment="1">
      <alignment horizontal="center" wrapText="1"/>
    </xf>
    <xf numFmtId="0" fontId="0" fillId="0" borderId="7" xfId="0" applyBorder="1" applyAlignment="1">
      <alignment horizontal="center" wrapText="1"/>
    </xf>
    <xf numFmtId="0" fontId="0" fillId="0" borderId="18" xfId="0" applyBorder="1" applyAlignment="1">
      <alignment horizontal="center" wrapText="1"/>
    </xf>
    <xf numFmtId="0" fontId="0" fillId="0" borderId="4" xfId="0" applyBorder="1" applyAlignment="1">
      <alignment horizontal="center" wrapText="1"/>
    </xf>
    <xf numFmtId="49" fontId="0" fillId="0" borderId="15" xfId="0" applyNumberFormat="1" applyBorder="1" applyAlignment="1">
      <alignment horizontal="center" wrapText="1"/>
    </xf>
    <xf numFmtId="49" fontId="0" fillId="0" borderId="16" xfId="0" applyNumberFormat="1" applyBorder="1" applyAlignment="1">
      <alignment horizontal="center" wrapText="1"/>
    </xf>
    <xf numFmtId="49" fontId="0" fillId="0" borderId="17" xfId="0" applyNumberFormat="1" applyBorder="1" applyAlignment="1">
      <alignment horizontal="center" wrapText="1"/>
    </xf>
    <xf numFmtId="0" fontId="4" fillId="0" borderId="4" xfId="0" applyFont="1" applyBorder="1" applyAlignment="1">
      <alignment horizontal="center" wrapText="1"/>
    </xf>
    <xf numFmtId="49" fontId="0" fillId="0" borderId="12" xfId="0" applyNumberFormat="1" applyBorder="1" applyAlignment="1">
      <alignment horizontal="center"/>
    </xf>
    <xf numFmtId="49" fontId="0" fillId="0" borderId="13" xfId="0" applyNumberFormat="1" applyBorder="1" applyAlignment="1">
      <alignment horizontal="center"/>
    </xf>
    <xf numFmtId="49" fontId="0" fillId="0" borderId="14" xfId="0" applyNumberFormat="1" applyBorder="1" applyAlignment="1">
      <alignment horizontal="center"/>
    </xf>
    <xf numFmtId="0" fontId="0" fillId="0" borderId="1" xfId="0" applyBorder="1" applyAlignment="1">
      <alignment horizontal="center" wrapText="1"/>
    </xf>
  </cellXfs>
  <cellStyles count="18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barChart>
        <c:barDir val="col"/>
        <c:grouping val="clustered"/>
        <c:varyColors val="0"/>
        <c:ser>
          <c:idx val="0"/>
          <c:order val="0"/>
          <c:tx>
            <c:v>0.1 Age of Language Assessment Survey participants</c:v>
          </c:tx>
          <c:invertIfNegative val="0"/>
          <c:cat>
            <c:strRef>
              <c:f>'Response Totals'!$A$4:$A$13</c:f>
              <c:strCache>
                <c:ptCount val="10"/>
                <c:pt idx="0">
                  <c:v>0-4</c:v>
                </c:pt>
                <c:pt idx="1">
                  <c:v>5-14</c:v>
                </c:pt>
                <c:pt idx="2">
                  <c:v>15-19</c:v>
                </c:pt>
                <c:pt idx="3">
                  <c:v>20-24</c:v>
                </c:pt>
                <c:pt idx="4">
                  <c:v>25-44</c:v>
                </c:pt>
                <c:pt idx="5">
                  <c:v>45-54</c:v>
                </c:pt>
                <c:pt idx="6">
                  <c:v>55-64</c:v>
                </c:pt>
                <c:pt idx="7">
                  <c:v>65-74</c:v>
                </c:pt>
                <c:pt idx="8">
                  <c:v>75-84</c:v>
                </c:pt>
                <c:pt idx="9">
                  <c:v>85+</c:v>
                </c:pt>
              </c:strCache>
            </c:strRef>
          </c:cat>
          <c:val>
            <c:numRef>
              <c:f>'Response Totals'!$B$4:$B$13</c:f>
              <c:numCache>
                <c:formatCode>General</c:formatCode>
                <c:ptCount val="10"/>
                <c:pt idx="0">
                  <c:v>0.0</c:v>
                </c:pt>
                <c:pt idx="1">
                  <c:v>0.0</c:v>
                </c:pt>
                <c:pt idx="2">
                  <c:v>0.0</c:v>
                </c:pt>
                <c:pt idx="3">
                  <c:v>0.0</c:v>
                </c:pt>
                <c:pt idx="4">
                  <c:v>0.0</c:v>
                </c:pt>
                <c:pt idx="5">
                  <c:v>0.0</c:v>
                </c:pt>
                <c:pt idx="6">
                  <c:v>0.0</c:v>
                </c:pt>
                <c:pt idx="7">
                  <c:v>0.0</c:v>
                </c:pt>
                <c:pt idx="8">
                  <c:v>0.0</c:v>
                </c:pt>
                <c:pt idx="9">
                  <c:v>0.0</c:v>
                </c:pt>
              </c:numCache>
            </c:numRef>
          </c:val>
        </c:ser>
        <c:dLbls>
          <c:showLegendKey val="0"/>
          <c:showVal val="0"/>
          <c:showCatName val="0"/>
          <c:showSerName val="0"/>
          <c:showPercent val="0"/>
          <c:showBubbleSize val="0"/>
        </c:dLbls>
        <c:gapWidth val="150"/>
        <c:axId val="-2086097736"/>
        <c:axId val="-2086062632"/>
      </c:barChart>
      <c:catAx>
        <c:axId val="-2086097736"/>
        <c:scaling>
          <c:orientation val="minMax"/>
        </c:scaling>
        <c:delete val="0"/>
        <c:axPos val="b"/>
        <c:majorTickMark val="out"/>
        <c:minorTickMark val="none"/>
        <c:tickLblPos val="nextTo"/>
        <c:crossAx val="-2086062632"/>
        <c:crosses val="autoZero"/>
        <c:auto val="1"/>
        <c:lblAlgn val="ctr"/>
        <c:lblOffset val="100"/>
        <c:noMultiLvlLbl val="0"/>
      </c:catAx>
      <c:valAx>
        <c:axId val="-2086062632"/>
        <c:scaling>
          <c:orientation val="minMax"/>
        </c:scaling>
        <c:delete val="0"/>
        <c:axPos val="l"/>
        <c:majorGridlines/>
        <c:numFmt formatCode="General" sourceLinked="1"/>
        <c:majorTickMark val="out"/>
        <c:minorTickMark val="none"/>
        <c:tickLblPos val="nextTo"/>
        <c:crossAx val="-2086097736"/>
        <c:crosses val="autoZero"/>
        <c:crossBetween val="between"/>
        <c:majorUnit val="1.0"/>
        <c:minorUnit val="1.0"/>
      </c:valAx>
    </c:plotArea>
    <c:legend>
      <c:legendPos val="t"/>
      <c:overlay val="0"/>
    </c:legend>
    <c:plotVisOnly val="1"/>
    <c:dispBlanksAs val="gap"/>
    <c:showDLblsOverMax val="0"/>
  </c:chart>
  <c:printSettings>
    <c:headerFooter/>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1.9 Frequency of use of language at home</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'Response Totals'!$A$83:$A$86</c:f>
              <c:strCache>
                <c:ptCount val="4"/>
                <c:pt idx="0">
                  <c:v>Always</c:v>
                </c:pt>
                <c:pt idx="1">
                  <c:v>Sometimes</c:v>
                </c:pt>
                <c:pt idx="2">
                  <c:v>Very little</c:v>
                </c:pt>
                <c:pt idx="3">
                  <c:v>Never</c:v>
                </c:pt>
              </c:strCache>
            </c:strRef>
          </c:cat>
          <c:val>
            <c:numRef>
              <c:f>'Response Totals'!$B$83:$B$86</c:f>
              <c:numCache>
                <c:formatCode>General</c:formatCode>
                <c:ptCount val="4"/>
                <c:pt idx="0">
                  <c:v>0.0</c:v>
                </c:pt>
                <c:pt idx="1">
                  <c:v>0.0</c:v>
                </c:pt>
                <c:pt idx="2">
                  <c:v>0.0</c:v>
                </c:pt>
                <c:pt idx="3">
                  <c:v>0.0</c:v>
                </c:pt>
              </c:numCache>
            </c:numRef>
          </c:val>
        </c:ser>
        <c:dLbls>
          <c:showLegendKey val="0"/>
          <c:showVal val="0"/>
          <c:showCatName val="0"/>
          <c:showSerName val="0"/>
          <c:showPercent val="0"/>
          <c:showBubbleSize val="0"/>
        </c:dLbls>
        <c:gapWidth val="150"/>
        <c:axId val="-2080170392"/>
        <c:axId val="-2080123384"/>
      </c:barChart>
      <c:catAx>
        <c:axId val="-2080170392"/>
        <c:scaling>
          <c:orientation val="minMax"/>
        </c:scaling>
        <c:delete val="0"/>
        <c:axPos val="b"/>
        <c:majorTickMark val="out"/>
        <c:minorTickMark val="none"/>
        <c:tickLblPos val="nextTo"/>
        <c:crossAx val="-2080123384"/>
        <c:crosses val="autoZero"/>
        <c:auto val="1"/>
        <c:lblAlgn val="ctr"/>
        <c:lblOffset val="100"/>
        <c:noMultiLvlLbl val="0"/>
      </c:catAx>
      <c:valAx>
        <c:axId val="-2080123384"/>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0170392"/>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1.10 Who speaks the language</a:t>
            </a:r>
            <a:r>
              <a:rPr lang="en-US" baseline="0"/>
              <a:t> at home, as identified by participants?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Totals'!$B$90:$B$96</c:f>
              <c:numCache>
                <c:formatCode>General</c:formatCode>
                <c:ptCount val="7"/>
                <c:pt idx="0">
                  <c:v>0.0</c:v>
                </c:pt>
                <c:pt idx="1">
                  <c:v>0.0</c:v>
                </c:pt>
                <c:pt idx="2">
                  <c:v>0.0</c:v>
                </c:pt>
                <c:pt idx="3">
                  <c:v>0.0</c:v>
                </c:pt>
                <c:pt idx="4">
                  <c:v>0.0</c:v>
                </c:pt>
                <c:pt idx="5">
                  <c:v>0.0</c:v>
                </c:pt>
                <c:pt idx="6">
                  <c:v>0.0</c:v>
                </c:pt>
              </c:numCache>
            </c:numRef>
          </c:val>
        </c:ser>
        <c:dLbls>
          <c:showLegendKey val="0"/>
          <c:showVal val="0"/>
          <c:showCatName val="0"/>
          <c:showSerName val="0"/>
          <c:showPercent val="0"/>
          <c:showBubbleSize val="0"/>
        </c:dLbls>
        <c:gapWidth val="150"/>
        <c:axId val="-2080159464"/>
        <c:axId val="-2080156488"/>
      </c:barChart>
      <c:catAx>
        <c:axId val="-2080159464"/>
        <c:scaling>
          <c:orientation val="minMax"/>
        </c:scaling>
        <c:delete val="0"/>
        <c:axPos val="b"/>
        <c:majorTickMark val="out"/>
        <c:minorTickMark val="none"/>
        <c:tickLblPos val="nextTo"/>
        <c:crossAx val="-2080156488"/>
        <c:crosses val="autoZero"/>
        <c:auto val="1"/>
        <c:lblAlgn val="ctr"/>
        <c:lblOffset val="100"/>
        <c:noMultiLvlLbl val="0"/>
      </c:catAx>
      <c:valAx>
        <c:axId val="-2080156488"/>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0159464"/>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1.11 Frequency</a:t>
            </a:r>
            <a:r>
              <a:rPr lang="en-US" baseline="0"/>
              <a:t> of use of language at work</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'Response Totals'!$A$100:$A$104</c:f>
              <c:strCache>
                <c:ptCount val="5"/>
                <c:pt idx="0">
                  <c:v>Always</c:v>
                </c:pt>
                <c:pt idx="1">
                  <c:v>Sometimes</c:v>
                </c:pt>
                <c:pt idx="2">
                  <c:v>Very Little</c:v>
                </c:pt>
                <c:pt idx="3">
                  <c:v>Never</c:v>
                </c:pt>
                <c:pt idx="4">
                  <c:v>NA</c:v>
                </c:pt>
              </c:strCache>
            </c:strRef>
          </c:cat>
          <c:val>
            <c:numRef>
              <c:f>'Response Totals'!$B$100:$B$104</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140210056"/>
        <c:axId val="2110500744"/>
      </c:barChart>
      <c:catAx>
        <c:axId val="2140210056"/>
        <c:scaling>
          <c:orientation val="minMax"/>
        </c:scaling>
        <c:delete val="0"/>
        <c:axPos val="b"/>
        <c:majorTickMark val="out"/>
        <c:minorTickMark val="none"/>
        <c:tickLblPos val="nextTo"/>
        <c:crossAx val="2110500744"/>
        <c:crosses val="autoZero"/>
        <c:auto val="1"/>
        <c:lblAlgn val="ctr"/>
        <c:lblOffset val="100"/>
        <c:noMultiLvlLbl val="0"/>
      </c:catAx>
      <c:valAx>
        <c:axId val="2110500744"/>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140210056"/>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1.13 Frequency</a:t>
            </a:r>
            <a:r>
              <a:rPr lang="en-US" baseline="0"/>
              <a:t> of use of language at school</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'Response Totals'!$A$111:$A$115</c:f>
              <c:strCache>
                <c:ptCount val="5"/>
                <c:pt idx="0">
                  <c:v>Always</c:v>
                </c:pt>
                <c:pt idx="1">
                  <c:v>Sometimes</c:v>
                </c:pt>
                <c:pt idx="2">
                  <c:v>Very Little</c:v>
                </c:pt>
                <c:pt idx="3">
                  <c:v>Never</c:v>
                </c:pt>
                <c:pt idx="4">
                  <c:v>NA</c:v>
                </c:pt>
              </c:strCache>
            </c:strRef>
          </c:cat>
          <c:val>
            <c:numRef>
              <c:f>'Response Totals'!$B$111:$B$115</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80084360"/>
        <c:axId val="-2080081384"/>
      </c:barChart>
      <c:catAx>
        <c:axId val="-2080084360"/>
        <c:scaling>
          <c:orientation val="minMax"/>
        </c:scaling>
        <c:delete val="0"/>
        <c:axPos val="b"/>
        <c:majorTickMark val="out"/>
        <c:minorTickMark val="none"/>
        <c:tickLblPos val="nextTo"/>
        <c:crossAx val="-2080081384"/>
        <c:crosses val="autoZero"/>
        <c:auto val="1"/>
        <c:lblAlgn val="ctr"/>
        <c:lblOffset val="100"/>
        <c:noMultiLvlLbl val="0"/>
      </c:catAx>
      <c:valAx>
        <c:axId val="-2080081384"/>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0084360"/>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1.15 Frequency</a:t>
            </a:r>
            <a:r>
              <a:rPr lang="en-US" baseline="0"/>
              <a:t> of use of language at community gatherings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'Response Totals'!$A$122:$A$126</c:f>
              <c:strCache>
                <c:ptCount val="5"/>
                <c:pt idx="0">
                  <c:v>Always</c:v>
                </c:pt>
                <c:pt idx="1">
                  <c:v>Sometimes</c:v>
                </c:pt>
                <c:pt idx="2">
                  <c:v>Very Little</c:v>
                </c:pt>
                <c:pt idx="3">
                  <c:v>Never</c:v>
                </c:pt>
                <c:pt idx="4">
                  <c:v>NA</c:v>
                </c:pt>
              </c:strCache>
            </c:strRef>
          </c:cat>
          <c:val>
            <c:numRef>
              <c:f>'Response Totals'!$B$122:$B$126</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80051032"/>
        <c:axId val="-2080048056"/>
      </c:barChart>
      <c:catAx>
        <c:axId val="-2080051032"/>
        <c:scaling>
          <c:orientation val="minMax"/>
        </c:scaling>
        <c:delete val="0"/>
        <c:axPos val="b"/>
        <c:majorTickMark val="out"/>
        <c:minorTickMark val="none"/>
        <c:tickLblPos val="nextTo"/>
        <c:crossAx val="-2080048056"/>
        <c:crosses val="autoZero"/>
        <c:auto val="1"/>
        <c:lblAlgn val="ctr"/>
        <c:lblOffset val="100"/>
        <c:noMultiLvlLbl val="0"/>
      </c:catAx>
      <c:valAx>
        <c:axId val="-2080048056"/>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0051032"/>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1.17 Frequency</a:t>
            </a:r>
            <a:r>
              <a:rPr lang="en-US" baseline="0"/>
              <a:t> of use of language at traditional or ceremonial gatherings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'Response Totals'!$A$133:$A$137</c:f>
              <c:strCache>
                <c:ptCount val="5"/>
                <c:pt idx="0">
                  <c:v>Always</c:v>
                </c:pt>
                <c:pt idx="1">
                  <c:v>Sometimes</c:v>
                </c:pt>
                <c:pt idx="2">
                  <c:v>Very Little</c:v>
                </c:pt>
                <c:pt idx="3">
                  <c:v>Never</c:v>
                </c:pt>
                <c:pt idx="4">
                  <c:v>NA</c:v>
                </c:pt>
              </c:strCache>
            </c:strRef>
          </c:cat>
          <c:val>
            <c:numRef>
              <c:f>'Response Totals'!$B$133:$B$137</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94332584"/>
        <c:axId val="-2094153288"/>
      </c:barChart>
      <c:catAx>
        <c:axId val="-2094332584"/>
        <c:scaling>
          <c:orientation val="minMax"/>
        </c:scaling>
        <c:delete val="0"/>
        <c:axPos val="b"/>
        <c:majorTickMark val="out"/>
        <c:minorTickMark val="none"/>
        <c:tickLblPos val="nextTo"/>
        <c:crossAx val="-2094153288"/>
        <c:crosses val="autoZero"/>
        <c:auto val="1"/>
        <c:lblAlgn val="ctr"/>
        <c:lblOffset val="100"/>
        <c:noMultiLvlLbl val="0"/>
      </c:catAx>
      <c:valAx>
        <c:axId val="-2094153288"/>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94332584"/>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1.19 Frequency</a:t>
            </a:r>
            <a:r>
              <a:rPr lang="en-US" baseline="0"/>
              <a:t> of use of language at church (if applicable)</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'Response Totals'!$A$144:$A$148</c:f>
              <c:strCache>
                <c:ptCount val="5"/>
                <c:pt idx="0">
                  <c:v>Always</c:v>
                </c:pt>
                <c:pt idx="1">
                  <c:v>Sometimes</c:v>
                </c:pt>
                <c:pt idx="2">
                  <c:v>Very Little</c:v>
                </c:pt>
                <c:pt idx="3">
                  <c:v>Never</c:v>
                </c:pt>
                <c:pt idx="4">
                  <c:v>NA</c:v>
                </c:pt>
              </c:strCache>
            </c:strRef>
          </c:cat>
          <c:val>
            <c:numRef>
              <c:f>'Response Totals'!$B$144:$B$148</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94515624"/>
        <c:axId val="-2094174456"/>
      </c:barChart>
      <c:catAx>
        <c:axId val="-2094515624"/>
        <c:scaling>
          <c:orientation val="minMax"/>
        </c:scaling>
        <c:delete val="0"/>
        <c:axPos val="b"/>
        <c:majorTickMark val="out"/>
        <c:minorTickMark val="none"/>
        <c:tickLblPos val="nextTo"/>
        <c:crossAx val="-2094174456"/>
        <c:crosses val="autoZero"/>
        <c:auto val="1"/>
        <c:lblAlgn val="ctr"/>
        <c:lblOffset val="100"/>
        <c:noMultiLvlLbl val="0"/>
      </c:catAx>
      <c:valAx>
        <c:axId val="-2094174456"/>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94515624"/>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1.21 Frequency</a:t>
            </a:r>
            <a:r>
              <a:rPr lang="en-US" baseline="0"/>
              <a:t> of use of language at First Nations government activities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'Response Totals'!$A$155:$A$159</c:f>
              <c:strCache>
                <c:ptCount val="5"/>
                <c:pt idx="0">
                  <c:v>Always</c:v>
                </c:pt>
                <c:pt idx="1">
                  <c:v>Sometimes</c:v>
                </c:pt>
                <c:pt idx="2">
                  <c:v>Very Little</c:v>
                </c:pt>
                <c:pt idx="3">
                  <c:v>Never</c:v>
                </c:pt>
                <c:pt idx="4">
                  <c:v>NA</c:v>
                </c:pt>
              </c:strCache>
            </c:strRef>
          </c:cat>
          <c:val>
            <c:numRef>
              <c:f>'Response Totals'!$B$155:$B$159</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94517080"/>
        <c:axId val="-2094422344"/>
      </c:barChart>
      <c:catAx>
        <c:axId val="-2094517080"/>
        <c:scaling>
          <c:orientation val="minMax"/>
        </c:scaling>
        <c:delete val="0"/>
        <c:axPos val="b"/>
        <c:majorTickMark val="out"/>
        <c:minorTickMark val="none"/>
        <c:tickLblPos val="nextTo"/>
        <c:crossAx val="-2094422344"/>
        <c:crosses val="autoZero"/>
        <c:auto val="1"/>
        <c:lblAlgn val="ctr"/>
        <c:lblOffset val="100"/>
        <c:noMultiLvlLbl val="0"/>
      </c:catAx>
      <c:valAx>
        <c:axId val="-2094422344"/>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94517080"/>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2.1 Interest in learning the language</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v>Interest in learning the language</c:v>
          </c:tx>
          <c:invertIfNegative val="0"/>
          <c:dLbls>
            <c:showLegendKey val="0"/>
            <c:showVal val="1"/>
            <c:showCatName val="0"/>
            <c:showSerName val="0"/>
            <c:showPercent val="0"/>
            <c:showBubbleSize val="0"/>
            <c:showLeaderLines val="0"/>
          </c:dLbls>
          <c:cat>
            <c:strRef>
              <c:f>'Response Totals'!$A$166:$A$168</c:f>
              <c:strCache>
                <c:ptCount val="3"/>
                <c:pt idx="0">
                  <c:v>Yes</c:v>
                </c:pt>
                <c:pt idx="1">
                  <c:v>No</c:v>
                </c:pt>
                <c:pt idx="2">
                  <c:v>Not Sure</c:v>
                </c:pt>
              </c:strCache>
            </c:strRef>
          </c:cat>
          <c:val>
            <c:numRef>
              <c:f>'Response Totals'!$B$166:$B$168</c:f>
              <c:numCache>
                <c:formatCode>General</c:formatCode>
                <c:ptCount val="3"/>
                <c:pt idx="0">
                  <c:v>0.0</c:v>
                </c:pt>
                <c:pt idx="1">
                  <c:v>0.0</c:v>
                </c:pt>
                <c:pt idx="2">
                  <c:v>0.0</c:v>
                </c:pt>
              </c:numCache>
            </c:numRef>
          </c:val>
        </c:ser>
        <c:dLbls>
          <c:showLegendKey val="0"/>
          <c:showVal val="0"/>
          <c:showCatName val="0"/>
          <c:showSerName val="0"/>
          <c:showPercent val="0"/>
          <c:showBubbleSize val="0"/>
        </c:dLbls>
        <c:gapWidth val="150"/>
        <c:axId val="-2094099480"/>
        <c:axId val="-2094138840"/>
      </c:barChart>
      <c:catAx>
        <c:axId val="-2094099480"/>
        <c:scaling>
          <c:orientation val="minMax"/>
        </c:scaling>
        <c:delete val="0"/>
        <c:axPos val="b"/>
        <c:majorTickMark val="out"/>
        <c:minorTickMark val="none"/>
        <c:tickLblPos val="nextTo"/>
        <c:crossAx val="-2094138840"/>
        <c:crosses val="autoZero"/>
        <c:auto val="1"/>
        <c:lblAlgn val="ctr"/>
        <c:lblOffset val="100"/>
        <c:noMultiLvlLbl val="0"/>
      </c:catAx>
      <c:valAx>
        <c:axId val="-2094138840"/>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94099480"/>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2.1 Language learning</a:t>
            </a:r>
            <a:r>
              <a:rPr lang="en-US" baseline="0"/>
              <a:t> reason by rank</a:t>
            </a:r>
            <a:endParaRPr lang="en-US"/>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v>1st</c:v>
          </c:tx>
          <c:invertIfNegative val="0"/>
          <c:dLbls>
            <c:showLegendKey val="0"/>
            <c:showVal val="1"/>
            <c:showCatName val="0"/>
            <c:showSerName val="0"/>
            <c:showPercent val="0"/>
            <c:showBubbleSize val="0"/>
            <c:showLeaderLines val="0"/>
          </c:dLbls>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Totals'!$B$172:$B$185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1"/>
          <c:order val="1"/>
          <c:tx>
            <c:v>2nd</c:v>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Totals'!$C$172:$C$185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2"/>
          <c:order val="2"/>
          <c:tx>
            <c:v>3rd</c:v>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Totals'!$D$172:$D$185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dLbls>
          <c:showLegendKey val="0"/>
          <c:showVal val="0"/>
          <c:showCatName val="0"/>
          <c:showSerName val="0"/>
          <c:showPercent val="0"/>
          <c:showBubbleSize val="0"/>
        </c:dLbls>
        <c:gapWidth val="150"/>
        <c:axId val="-2094293432"/>
        <c:axId val="-2094247080"/>
      </c:barChart>
      <c:catAx>
        <c:axId val="-2094293432"/>
        <c:scaling>
          <c:orientation val="minMax"/>
        </c:scaling>
        <c:delete val="0"/>
        <c:axPos val="b"/>
        <c:majorTickMark val="out"/>
        <c:minorTickMark val="none"/>
        <c:tickLblPos val="nextTo"/>
        <c:crossAx val="-2094247080"/>
        <c:crosses val="autoZero"/>
        <c:auto val="1"/>
        <c:lblAlgn val="ctr"/>
        <c:lblOffset val="100"/>
        <c:noMultiLvlLbl val="0"/>
      </c:catAx>
      <c:valAx>
        <c:axId val="-2094247080"/>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94293432"/>
        <c:crosses val="autoZero"/>
        <c:crossBetween val="between"/>
        <c:majorUnit val="1.0"/>
        <c:minorUnit val="1.0"/>
      </c:valAx>
    </c:plotArea>
    <c:legend>
      <c:legendPos val="t"/>
      <c:overlay val="0"/>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barChart>
        <c:barDir val="col"/>
        <c:grouping val="clustered"/>
        <c:varyColors val="0"/>
        <c:ser>
          <c:idx val="0"/>
          <c:order val="0"/>
          <c:tx>
            <c:v>0.2 Gender of Language Assessment Survey participants</c:v>
          </c:tx>
          <c:invertIfNegative val="0"/>
          <c:cat>
            <c:strRef>
              <c:f>'Response Totals'!$A$16:$A$17</c:f>
              <c:strCache>
                <c:ptCount val="2"/>
                <c:pt idx="0">
                  <c:v>Male</c:v>
                </c:pt>
                <c:pt idx="1">
                  <c:v>Female</c:v>
                </c:pt>
              </c:strCache>
            </c:strRef>
          </c:cat>
          <c:val>
            <c:numRef>
              <c:f>'Response Totals'!$B$16:$B$17</c:f>
              <c:numCache>
                <c:formatCode>General</c:formatCode>
                <c:ptCount val="2"/>
                <c:pt idx="0">
                  <c:v>0.0</c:v>
                </c:pt>
                <c:pt idx="1">
                  <c:v>0.0</c:v>
                </c:pt>
              </c:numCache>
            </c:numRef>
          </c:val>
        </c:ser>
        <c:dLbls>
          <c:showLegendKey val="0"/>
          <c:showVal val="0"/>
          <c:showCatName val="0"/>
          <c:showSerName val="0"/>
          <c:showPercent val="0"/>
          <c:showBubbleSize val="0"/>
        </c:dLbls>
        <c:gapWidth val="150"/>
        <c:axId val="-2077225864"/>
        <c:axId val="-2077222920"/>
      </c:barChart>
      <c:catAx>
        <c:axId val="-2077225864"/>
        <c:scaling>
          <c:orientation val="minMax"/>
        </c:scaling>
        <c:delete val="0"/>
        <c:axPos val="b"/>
        <c:majorTickMark val="out"/>
        <c:minorTickMark val="none"/>
        <c:tickLblPos val="nextTo"/>
        <c:crossAx val="-2077222920"/>
        <c:crosses val="autoZero"/>
        <c:auto val="1"/>
        <c:lblAlgn val="ctr"/>
        <c:lblOffset val="100"/>
        <c:noMultiLvlLbl val="0"/>
      </c:catAx>
      <c:valAx>
        <c:axId val="-2077222920"/>
        <c:scaling>
          <c:orientation val="minMax"/>
        </c:scaling>
        <c:delete val="0"/>
        <c:axPos val="l"/>
        <c:majorGridlines/>
        <c:numFmt formatCode="General" sourceLinked="1"/>
        <c:majorTickMark val="out"/>
        <c:minorTickMark val="none"/>
        <c:tickLblPos val="nextTo"/>
        <c:crossAx val="-2077225864"/>
        <c:crosses val="autoZero"/>
        <c:crossBetween val="between"/>
        <c:majorUnit val="1.0"/>
        <c:minorUnit val="1.0"/>
      </c:valAx>
    </c:plotArea>
    <c:legend>
      <c:legendPos val="t"/>
      <c:overlay val="0"/>
    </c:legend>
    <c:plotVisOnly val="1"/>
    <c:dispBlanksAs val="gap"/>
    <c:showDLblsOverMax val="0"/>
  </c:chart>
  <c:printSettings>
    <c:headerFooter/>
    <c:pageMargins b="1.0" l="0.75" r="0.75" t="1.0"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itle>
    <c:autoTitleDeleted val="0"/>
    <c:plotArea>
      <c:layout/>
      <c:barChart>
        <c:barDir val="col"/>
        <c:grouping val="clustered"/>
        <c:varyColors val="0"/>
        <c:ser>
          <c:idx val="0"/>
          <c:order val="0"/>
          <c:tx>
            <c:v>0.1 Age of Language Assessment Survey participants</c:v>
          </c:tx>
          <c:invertIfNegative val="0"/>
          <c:cat>
            <c:strRef>
              <c:f>'Response Totals'!$A$4:$A$13</c:f>
              <c:strCache>
                <c:ptCount val="10"/>
                <c:pt idx="0">
                  <c:v>0-4</c:v>
                </c:pt>
                <c:pt idx="1">
                  <c:v>5-14</c:v>
                </c:pt>
                <c:pt idx="2">
                  <c:v>15-19</c:v>
                </c:pt>
                <c:pt idx="3">
                  <c:v>20-24</c:v>
                </c:pt>
                <c:pt idx="4">
                  <c:v>25-44</c:v>
                </c:pt>
                <c:pt idx="5">
                  <c:v>45-54</c:v>
                </c:pt>
                <c:pt idx="6">
                  <c:v>55-64</c:v>
                </c:pt>
                <c:pt idx="7">
                  <c:v>65-74</c:v>
                </c:pt>
                <c:pt idx="8">
                  <c:v>75-84</c:v>
                </c:pt>
                <c:pt idx="9">
                  <c:v>85+</c:v>
                </c:pt>
              </c:strCache>
            </c:strRef>
          </c:cat>
          <c:val>
            <c:numRef>
              <c:f>'Response Totals'!$B$4:$B$13</c:f>
              <c:numCache>
                <c:formatCode>General</c:formatCode>
                <c:ptCount val="10"/>
                <c:pt idx="0">
                  <c:v>0.0</c:v>
                </c:pt>
                <c:pt idx="1">
                  <c:v>0.0</c:v>
                </c:pt>
                <c:pt idx="2">
                  <c:v>0.0</c:v>
                </c:pt>
                <c:pt idx="3">
                  <c:v>0.0</c:v>
                </c:pt>
                <c:pt idx="4">
                  <c:v>0.0</c:v>
                </c:pt>
                <c:pt idx="5">
                  <c:v>0.0</c:v>
                </c:pt>
                <c:pt idx="6">
                  <c:v>0.0</c:v>
                </c:pt>
                <c:pt idx="7">
                  <c:v>0.0</c:v>
                </c:pt>
                <c:pt idx="8">
                  <c:v>0.0</c:v>
                </c:pt>
                <c:pt idx="9">
                  <c:v>0.0</c:v>
                </c:pt>
              </c:numCache>
            </c:numRef>
          </c:val>
        </c:ser>
        <c:dLbls>
          <c:showLegendKey val="0"/>
          <c:showVal val="0"/>
          <c:showCatName val="0"/>
          <c:showSerName val="0"/>
          <c:showPercent val="0"/>
          <c:showBubbleSize val="0"/>
        </c:dLbls>
        <c:gapWidth val="150"/>
        <c:axId val="-2085802536"/>
        <c:axId val="-2085810856"/>
      </c:barChart>
      <c:catAx>
        <c:axId val="-2085802536"/>
        <c:scaling>
          <c:orientation val="minMax"/>
        </c:scaling>
        <c:delete val="0"/>
        <c:axPos val="b"/>
        <c:title>
          <c:tx>
            <c:rich>
              <a:bodyPr/>
              <a:lstStyle/>
              <a:p>
                <a:pPr>
                  <a:defRPr/>
                </a:pPr>
                <a:r>
                  <a:rPr lang="en-US"/>
                  <a:t>Age</a:t>
                </a:r>
              </a:p>
            </c:rich>
          </c:tx>
          <c:layout/>
          <c:overlay val="0"/>
        </c:title>
        <c:majorTickMark val="out"/>
        <c:minorTickMark val="none"/>
        <c:tickLblPos val="nextTo"/>
        <c:crossAx val="-2085810856"/>
        <c:crosses val="autoZero"/>
        <c:auto val="1"/>
        <c:lblAlgn val="ctr"/>
        <c:lblOffset val="100"/>
        <c:noMultiLvlLbl val="0"/>
      </c:catAx>
      <c:valAx>
        <c:axId val="-2085810856"/>
        <c:scaling>
          <c:orientation val="minMax"/>
        </c:scaling>
        <c:delete val="0"/>
        <c:axPos val="l"/>
        <c:majorGridlines/>
        <c:numFmt formatCode="General" sourceLinked="1"/>
        <c:majorTickMark val="out"/>
        <c:minorTickMark val="none"/>
        <c:tickLblPos val="nextTo"/>
        <c:crossAx val="-2085802536"/>
        <c:crosses val="autoZero"/>
        <c:crossBetween val="between"/>
        <c:majorUnit val="1.0"/>
        <c:minorUnit val="1.0"/>
      </c:valAx>
    </c:plotArea>
    <c:legend>
      <c:legendPos val="t"/>
      <c:layout/>
      <c:overlay val="0"/>
    </c:legend>
    <c:plotVisOnly val="1"/>
    <c:dispBlanksAs val="gap"/>
    <c:showDLblsOverMax val="0"/>
  </c:chart>
  <c:printSettings>
    <c:headerFooter/>
    <c:pageMargins b="1.0" l="0.75" r="0.75" t="1.0"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itle>
    <c:autoTitleDeleted val="0"/>
    <c:plotArea>
      <c:layout/>
      <c:barChart>
        <c:barDir val="col"/>
        <c:grouping val="clustered"/>
        <c:varyColors val="0"/>
        <c:ser>
          <c:idx val="0"/>
          <c:order val="0"/>
          <c:tx>
            <c:v>0.2 Gender of Language Assessment Survey participants</c:v>
          </c:tx>
          <c:invertIfNegative val="0"/>
          <c:cat>
            <c:strRef>
              <c:f>'Response Totals'!$A$16:$A$17</c:f>
              <c:strCache>
                <c:ptCount val="2"/>
                <c:pt idx="0">
                  <c:v>Male</c:v>
                </c:pt>
                <c:pt idx="1">
                  <c:v>Female</c:v>
                </c:pt>
              </c:strCache>
            </c:strRef>
          </c:cat>
          <c:val>
            <c:numRef>
              <c:f>'Response Totals'!$B$16:$B$17</c:f>
              <c:numCache>
                <c:formatCode>General</c:formatCode>
                <c:ptCount val="2"/>
                <c:pt idx="0">
                  <c:v>0.0</c:v>
                </c:pt>
                <c:pt idx="1">
                  <c:v>0.0</c:v>
                </c:pt>
              </c:numCache>
            </c:numRef>
          </c:val>
        </c:ser>
        <c:dLbls>
          <c:showLegendKey val="0"/>
          <c:showVal val="0"/>
          <c:showCatName val="0"/>
          <c:showSerName val="0"/>
          <c:showPercent val="0"/>
          <c:showBubbleSize val="0"/>
        </c:dLbls>
        <c:gapWidth val="150"/>
        <c:axId val="-2085852424"/>
        <c:axId val="-2085857432"/>
      </c:barChart>
      <c:catAx>
        <c:axId val="-2085852424"/>
        <c:scaling>
          <c:orientation val="minMax"/>
        </c:scaling>
        <c:delete val="0"/>
        <c:axPos val="b"/>
        <c:majorTickMark val="out"/>
        <c:minorTickMark val="none"/>
        <c:tickLblPos val="nextTo"/>
        <c:crossAx val="-2085857432"/>
        <c:crosses val="autoZero"/>
        <c:auto val="1"/>
        <c:lblAlgn val="ctr"/>
        <c:lblOffset val="100"/>
        <c:noMultiLvlLbl val="0"/>
      </c:catAx>
      <c:valAx>
        <c:axId val="-2085857432"/>
        <c:scaling>
          <c:orientation val="minMax"/>
        </c:scaling>
        <c:delete val="0"/>
        <c:axPos val="l"/>
        <c:majorGridlines/>
        <c:numFmt formatCode="General" sourceLinked="1"/>
        <c:majorTickMark val="out"/>
        <c:minorTickMark val="none"/>
        <c:tickLblPos val="nextTo"/>
        <c:crossAx val="-2085852424"/>
        <c:crosses val="autoZero"/>
        <c:crossBetween val="between"/>
        <c:majorUnit val="1.0"/>
        <c:minorUnit val="1.0"/>
      </c:valAx>
    </c:plotArea>
    <c:legend>
      <c:legendPos val="t"/>
      <c:layout/>
      <c:overlay val="0"/>
    </c:legend>
    <c:plotVisOnly val="1"/>
    <c:dispBlanksAs val="gap"/>
    <c:showDLblsOverMax val="0"/>
  </c:chart>
  <c:printSettings>
    <c:headerFooter/>
    <c:pageMargins b="1.0" l="0.75" r="0.75" t="1.0"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1800" b="1" i="0" baseline="0">
                <a:effectLst/>
              </a:rPr>
              <a:t>1.1 How well can you speak the language?</a:t>
            </a:r>
            <a:endParaRPr lang="en-US">
              <a:effectLst/>
            </a:endParaRPr>
          </a:p>
        </c:rich>
      </c:tx>
      <c:layout/>
      <c:overlay val="0"/>
    </c:title>
    <c:autoTitleDeleted val="0"/>
    <c:plotArea>
      <c:layout/>
      <c:barChart>
        <c:barDir val="col"/>
        <c:grouping val="clustered"/>
        <c:varyColors val="0"/>
        <c:ser>
          <c:idx val="0"/>
          <c:order val="0"/>
          <c:tx>
            <c:strRef>
              <c:f>'Response Totals'!$E$21</c:f>
              <c:strCache>
                <c:ptCount val="1"/>
                <c:pt idx="0">
                  <c:v>0-4</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Totals'!$E$22:$E$26</c:f>
              <c:numCache>
                <c:formatCode>General</c:formatCode>
                <c:ptCount val="5"/>
                <c:pt idx="0">
                  <c:v>0.0</c:v>
                </c:pt>
                <c:pt idx="1">
                  <c:v>0.0</c:v>
                </c:pt>
                <c:pt idx="2">
                  <c:v>0.0</c:v>
                </c:pt>
                <c:pt idx="3">
                  <c:v>0.0</c:v>
                </c:pt>
                <c:pt idx="4">
                  <c:v>0.0</c:v>
                </c:pt>
              </c:numCache>
            </c:numRef>
          </c:val>
        </c:ser>
        <c:ser>
          <c:idx val="1"/>
          <c:order val="1"/>
          <c:tx>
            <c:strRef>
              <c:f>'Response Totals'!$F$21</c:f>
              <c:strCache>
                <c:ptCount val="1"/>
                <c:pt idx="0">
                  <c:v>5-14</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Totals'!$F$22:$F$26</c:f>
              <c:numCache>
                <c:formatCode>General</c:formatCode>
                <c:ptCount val="5"/>
                <c:pt idx="0">
                  <c:v>0.0</c:v>
                </c:pt>
                <c:pt idx="1">
                  <c:v>0.0</c:v>
                </c:pt>
                <c:pt idx="2">
                  <c:v>0.0</c:v>
                </c:pt>
                <c:pt idx="3">
                  <c:v>0.0</c:v>
                </c:pt>
                <c:pt idx="4">
                  <c:v>0.0</c:v>
                </c:pt>
              </c:numCache>
            </c:numRef>
          </c:val>
        </c:ser>
        <c:ser>
          <c:idx val="2"/>
          <c:order val="2"/>
          <c:tx>
            <c:strRef>
              <c:f>'Response Totals'!$G$21</c:f>
              <c:strCache>
                <c:ptCount val="1"/>
                <c:pt idx="0">
                  <c:v>15-19</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Totals'!$G$22:$G$26</c:f>
              <c:numCache>
                <c:formatCode>General</c:formatCode>
                <c:ptCount val="5"/>
                <c:pt idx="0">
                  <c:v>0.0</c:v>
                </c:pt>
                <c:pt idx="1">
                  <c:v>0.0</c:v>
                </c:pt>
                <c:pt idx="2">
                  <c:v>0.0</c:v>
                </c:pt>
                <c:pt idx="3">
                  <c:v>0.0</c:v>
                </c:pt>
                <c:pt idx="4">
                  <c:v>0.0</c:v>
                </c:pt>
              </c:numCache>
            </c:numRef>
          </c:val>
        </c:ser>
        <c:ser>
          <c:idx val="3"/>
          <c:order val="3"/>
          <c:tx>
            <c:strRef>
              <c:f>'Response Totals'!$H$21</c:f>
              <c:strCache>
                <c:ptCount val="1"/>
                <c:pt idx="0">
                  <c:v>20-24</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Totals'!$H$22:$H$26</c:f>
              <c:numCache>
                <c:formatCode>General</c:formatCode>
                <c:ptCount val="5"/>
                <c:pt idx="0">
                  <c:v>0.0</c:v>
                </c:pt>
                <c:pt idx="1">
                  <c:v>0.0</c:v>
                </c:pt>
                <c:pt idx="2">
                  <c:v>0.0</c:v>
                </c:pt>
                <c:pt idx="3">
                  <c:v>0.0</c:v>
                </c:pt>
                <c:pt idx="4">
                  <c:v>0.0</c:v>
                </c:pt>
              </c:numCache>
            </c:numRef>
          </c:val>
        </c:ser>
        <c:ser>
          <c:idx val="4"/>
          <c:order val="4"/>
          <c:tx>
            <c:strRef>
              <c:f>'Response Totals'!$I$21</c:f>
              <c:strCache>
                <c:ptCount val="1"/>
                <c:pt idx="0">
                  <c:v>25-44</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Totals'!$I$22:$I$26</c:f>
              <c:numCache>
                <c:formatCode>General</c:formatCode>
                <c:ptCount val="5"/>
                <c:pt idx="0">
                  <c:v>0.0</c:v>
                </c:pt>
                <c:pt idx="1">
                  <c:v>0.0</c:v>
                </c:pt>
                <c:pt idx="2">
                  <c:v>0.0</c:v>
                </c:pt>
                <c:pt idx="3">
                  <c:v>0.0</c:v>
                </c:pt>
                <c:pt idx="4">
                  <c:v>0.0</c:v>
                </c:pt>
              </c:numCache>
            </c:numRef>
          </c:val>
        </c:ser>
        <c:ser>
          <c:idx val="5"/>
          <c:order val="5"/>
          <c:tx>
            <c:strRef>
              <c:f>'Response Totals'!$J$21</c:f>
              <c:strCache>
                <c:ptCount val="1"/>
                <c:pt idx="0">
                  <c:v>45-54</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Totals'!$J$22:$J$26</c:f>
              <c:numCache>
                <c:formatCode>General</c:formatCode>
                <c:ptCount val="5"/>
                <c:pt idx="0">
                  <c:v>0.0</c:v>
                </c:pt>
                <c:pt idx="1">
                  <c:v>0.0</c:v>
                </c:pt>
                <c:pt idx="2">
                  <c:v>0.0</c:v>
                </c:pt>
                <c:pt idx="3">
                  <c:v>0.0</c:v>
                </c:pt>
                <c:pt idx="4">
                  <c:v>0.0</c:v>
                </c:pt>
              </c:numCache>
            </c:numRef>
          </c:val>
        </c:ser>
        <c:ser>
          <c:idx val="6"/>
          <c:order val="6"/>
          <c:tx>
            <c:strRef>
              <c:f>'Response Totals'!$K$21</c:f>
              <c:strCache>
                <c:ptCount val="1"/>
                <c:pt idx="0">
                  <c:v>55-64</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Totals'!$K$22:$K$26</c:f>
              <c:numCache>
                <c:formatCode>General</c:formatCode>
                <c:ptCount val="5"/>
                <c:pt idx="0">
                  <c:v>0.0</c:v>
                </c:pt>
                <c:pt idx="1">
                  <c:v>0.0</c:v>
                </c:pt>
                <c:pt idx="2">
                  <c:v>0.0</c:v>
                </c:pt>
                <c:pt idx="3">
                  <c:v>0.0</c:v>
                </c:pt>
                <c:pt idx="4">
                  <c:v>0.0</c:v>
                </c:pt>
              </c:numCache>
            </c:numRef>
          </c:val>
        </c:ser>
        <c:ser>
          <c:idx val="7"/>
          <c:order val="7"/>
          <c:tx>
            <c:strRef>
              <c:f>'Response Totals'!$L$21</c:f>
              <c:strCache>
                <c:ptCount val="1"/>
                <c:pt idx="0">
                  <c:v>65-74</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Totals'!$L$22:$L$26</c:f>
              <c:numCache>
                <c:formatCode>General</c:formatCode>
                <c:ptCount val="5"/>
                <c:pt idx="0">
                  <c:v>0.0</c:v>
                </c:pt>
                <c:pt idx="1">
                  <c:v>0.0</c:v>
                </c:pt>
                <c:pt idx="2">
                  <c:v>0.0</c:v>
                </c:pt>
                <c:pt idx="3">
                  <c:v>0.0</c:v>
                </c:pt>
                <c:pt idx="4">
                  <c:v>0.0</c:v>
                </c:pt>
              </c:numCache>
            </c:numRef>
          </c:val>
        </c:ser>
        <c:ser>
          <c:idx val="8"/>
          <c:order val="8"/>
          <c:tx>
            <c:strRef>
              <c:f>'Response Totals'!$M$21</c:f>
              <c:strCache>
                <c:ptCount val="1"/>
                <c:pt idx="0">
                  <c:v>75-84</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Totals'!$M$22:$M$26</c:f>
              <c:numCache>
                <c:formatCode>General</c:formatCode>
                <c:ptCount val="5"/>
                <c:pt idx="0">
                  <c:v>0.0</c:v>
                </c:pt>
                <c:pt idx="1">
                  <c:v>0.0</c:v>
                </c:pt>
                <c:pt idx="2">
                  <c:v>0.0</c:v>
                </c:pt>
                <c:pt idx="3">
                  <c:v>0.0</c:v>
                </c:pt>
                <c:pt idx="4">
                  <c:v>0.0</c:v>
                </c:pt>
              </c:numCache>
            </c:numRef>
          </c:val>
        </c:ser>
        <c:ser>
          <c:idx val="9"/>
          <c:order val="9"/>
          <c:tx>
            <c:strRef>
              <c:f>'Response Totals'!$N$21</c:f>
              <c:strCache>
                <c:ptCount val="1"/>
                <c:pt idx="0">
                  <c:v>85+</c:v>
                </c:pt>
              </c:strCache>
            </c:strRef>
          </c:tx>
          <c:invertIfNegative val="0"/>
          <c:cat>
            <c:strRef>
              <c:f>'Response Totals'!$A$22:$A$26</c:f>
              <c:strCache>
                <c:ptCount val="5"/>
                <c:pt idx="0">
                  <c:v>Fluently</c:v>
                </c:pt>
                <c:pt idx="1">
                  <c:v>Somewhat fluently</c:v>
                </c:pt>
                <c:pt idx="2">
                  <c:v>Not very well</c:v>
                </c:pt>
                <c:pt idx="3">
                  <c:v>Know some vocabulary</c:v>
                </c:pt>
                <c:pt idx="4">
                  <c:v>Not at all</c:v>
                </c:pt>
              </c:strCache>
            </c:strRef>
          </c:cat>
          <c:val>
            <c:numRef>
              <c:f>'Response Totals'!$N$22:$N$26</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85964232"/>
        <c:axId val="-2085969480"/>
      </c:barChart>
      <c:catAx>
        <c:axId val="-2085964232"/>
        <c:scaling>
          <c:orientation val="minMax"/>
        </c:scaling>
        <c:delete val="0"/>
        <c:axPos val="b"/>
        <c:majorTickMark val="out"/>
        <c:minorTickMark val="none"/>
        <c:tickLblPos val="nextTo"/>
        <c:crossAx val="-2085969480"/>
        <c:crosses val="autoZero"/>
        <c:auto val="1"/>
        <c:lblAlgn val="ctr"/>
        <c:lblOffset val="100"/>
        <c:noMultiLvlLbl val="0"/>
      </c:catAx>
      <c:valAx>
        <c:axId val="-2085969480"/>
        <c:scaling>
          <c:orientation val="minMax"/>
        </c:scaling>
        <c:delete val="0"/>
        <c:axPos val="l"/>
        <c:majorGridlines/>
        <c:title>
          <c:tx>
            <c:rich>
              <a:bodyPr rot="-5400000" vert="horz"/>
              <a:lstStyle/>
              <a:p>
                <a:pPr>
                  <a:defRPr/>
                </a:pPr>
                <a:r>
                  <a:rPr lang="en-US"/>
                  <a:t>Number of responses</a:t>
                </a:r>
              </a:p>
            </c:rich>
          </c:tx>
          <c:layout/>
          <c:overlay val="0"/>
        </c:title>
        <c:numFmt formatCode="General" sourceLinked="1"/>
        <c:majorTickMark val="out"/>
        <c:minorTickMark val="none"/>
        <c:tickLblPos val="nextTo"/>
        <c:crossAx val="-2085964232"/>
        <c:crosses val="autoZero"/>
        <c:crossBetween val="between"/>
        <c:majorUnit val="1.0"/>
        <c:minorUnit val="1.0"/>
      </c:valAx>
    </c:plotArea>
    <c:legend>
      <c:legendPos val="b"/>
      <c:layout/>
      <c:overlay val="0"/>
    </c:legend>
    <c:plotVisOnly val="1"/>
    <c:dispBlanksAs val="gap"/>
    <c:showDLblsOverMax val="0"/>
  </c:chart>
  <c:printSettings>
    <c:headerFooter/>
    <c:pageMargins b="1.0" l="0.75" r="0.75" t="1.0"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1800" b="1" i="0" baseline="0">
                <a:effectLst/>
              </a:rPr>
              <a:t>1.2 How well can you understand the language?</a:t>
            </a:r>
            <a:endParaRPr lang="en-US">
              <a:effectLst/>
            </a:endParaRPr>
          </a:p>
        </c:rich>
      </c:tx>
      <c:overlay val="0"/>
    </c:title>
    <c:autoTitleDeleted val="0"/>
    <c:plotArea>
      <c:layout/>
      <c:barChart>
        <c:barDir val="col"/>
        <c:grouping val="clustered"/>
        <c:varyColors val="0"/>
        <c:ser>
          <c:idx val="0"/>
          <c:order val="0"/>
          <c:tx>
            <c:strRef>
              <c:f>'Response Totals'!$E$29</c:f>
              <c:strCache>
                <c:ptCount val="1"/>
                <c:pt idx="0">
                  <c:v>0-4</c:v>
                </c:pt>
              </c:strCache>
            </c:strRef>
          </c:tx>
          <c:invertIfNegative val="0"/>
          <c:dLbls>
            <c:showLegendKey val="0"/>
            <c:showVal val="1"/>
            <c:showCatName val="0"/>
            <c:showSerName val="0"/>
            <c:showPercent val="0"/>
            <c:showBubbleSize val="0"/>
            <c:showLeaderLines val="0"/>
          </c:dLbls>
          <c:cat>
            <c:strRef>
              <c:f>'Response Totals'!$A$30:$A$33</c:f>
              <c:strCache>
                <c:ptCount val="4"/>
                <c:pt idx="0">
                  <c:v>Very well</c:v>
                </c:pt>
                <c:pt idx="1">
                  <c:v>Understand most</c:v>
                </c:pt>
                <c:pt idx="2">
                  <c:v>Understand some</c:v>
                </c:pt>
                <c:pt idx="3">
                  <c:v>Not at all</c:v>
                </c:pt>
              </c:strCache>
            </c:strRef>
          </c:cat>
          <c:val>
            <c:numRef>
              <c:f>'Response Totals'!$E$30:$E$33</c:f>
              <c:numCache>
                <c:formatCode>General</c:formatCode>
                <c:ptCount val="4"/>
                <c:pt idx="0">
                  <c:v>0.0</c:v>
                </c:pt>
                <c:pt idx="1">
                  <c:v>0.0</c:v>
                </c:pt>
                <c:pt idx="2">
                  <c:v>0.0</c:v>
                </c:pt>
                <c:pt idx="3">
                  <c:v>0.0</c:v>
                </c:pt>
              </c:numCache>
            </c:numRef>
          </c:val>
        </c:ser>
        <c:ser>
          <c:idx val="1"/>
          <c:order val="1"/>
          <c:tx>
            <c:strRef>
              <c:f>'Response Totals'!$F$29</c:f>
              <c:strCache>
                <c:ptCount val="1"/>
                <c:pt idx="0">
                  <c:v>5-14</c:v>
                </c:pt>
              </c:strCache>
            </c:strRef>
          </c:tx>
          <c:invertIfNegative val="0"/>
          <c:cat>
            <c:strRef>
              <c:f>'Response Totals'!$A$30:$A$33</c:f>
              <c:strCache>
                <c:ptCount val="4"/>
                <c:pt idx="0">
                  <c:v>Very well</c:v>
                </c:pt>
                <c:pt idx="1">
                  <c:v>Understand most</c:v>
                </c:pt>
                <c:pt idx="2">
                  <c:v>Understand some</c:v>
                </c:pt>
                <c:pt idx="3">
                  <c:v>Not at all</c:v>
                </c:pt>
              </c:strCache>
            </c:strRef>
          </c:cat>
          <c:val>
            <c:numRef>
              <c:f>'Response Totals'!$F$30:$F$33</c:f>
              <c:numCache>
                <c:formatCode>General</c:formatCode>
                <c:ptCount val="4"/>
                <c:pt idx="0">
                  <c:v>0.0</c:v>
                </c:pt>
                <c:pt idx="1">
                  <c:v>0.0</c:v>
                </c:pt>
                <c:pt idx="2">
                  <c:v>0.0</c:v>
                </c:pt>
                <c:pt idx="3">
                  <c:v>0.0</c:v>
                </c:pt>
              </c:numCache>
            </c:numRef>
          </c:val>
        </c:ser>
        <c:ser>
          <c:idx val="2"/>
          <c:order val="2"/>
          <c:tx>
            <c:strRef>
              <c:f>'Response Totals'!$G$29</c:f>
              <c:strCache>
                <c:ptCount val="1"/>
                <c:pt idx="0">
                  <c:v>15-19</c:v>
                </c:pt>
              </c:strCache>
            </c:strRef>
          </c:tx>
          <c:invertIfNegative val="0"/>
          <c:cat>
            <c:strRef>
              <c:f>'Response Totals'!$A$30:$A$33</c:f>
              <c:strCache>
                <c:ptCount val="4"/>
                <c:pt idx="0">
                  <c:v>Very well</c:v>
                </c:pt>
                <c:pt idx="1">
                  <c:v>Understand most</c:v>
                </c:pt>
                <c:pt idx="2">
                  <c:v>Understand some</c:v>
                </c:pt>
                <c:pt idx="3">
                  <c:v>Not at all</c:v>
                </c:pt>
              </c:strCache>
            </c:strRef>
          </c:cat>
          <c:val>
            <c:numRef>
              <c:f>'Response Totals'!$G$30:$G$33</c:f>
              <c:numCache>
                <c:formatCode>General</c:formatCode>
                <c:ptCount val="4"/>
                <c:pt idx="0">
                  <c:v>0.0</c:v>
                </c:pt>
                <c:pt idx="1">
                  <c:v>0.0</c:v>
                </c:pt>
                <c:pt idx="2">
                  <c:v>0.0</c:v>
                </c:pt>
                <c:pt idx="3">
                  <c:v>0.0</c:v>
                </c:pt>
              </c:numCache>
            </c:numRef>
          </c:val>
        </c:ser>
        <c:ser>
          <c:idx val="3"/>
          <c:order val="3"/>
          <c:tx>
            <c:strRef>
              <c:f>'Response Totals'!$H$29</c:f>
              <c:strCache>
                <c:ptCount val="1"/>
                <c:pt idx="0">
                  <c:v>20-24</c:v>
                </c:pt>
              </c:strCache>
            </c:strRef>
          </c:tx>
          <c:invertIfNegative val="0"/>
          <c:cat>
            <c:strRef>
              <c:f>'Response Totals'!$A$30:$A$33</c:f>
              <c:strCache>
                <c:ptCount val="4"/>
                <c:pt idx="0">
                  <c:v>Very well</c:v>
                </c:pt>
                <c:pt idx="1">
                  <c:v>Understand most</c:v>
                </c:pt>
                <c:pt idx="2">
                  <c:v>Understand some</c:v>
                </c:pt>
                <c:pt idx="3">
                  <c:v>Not at all</c:v>
                </c:pt>
              </c:strCache>
            </c:strRef>
          </c:cat>
          <c:val>
            <c:numRef>
              <c:f>'Response Totals'!$H$30:$H$33</c:f>
              <c:numCache>
                <c:formatCode>General</c:formatCode>
                <c:ptCount val="4"/>
                <c:pt idx="0">
                  <c:v>0.0</c:v>
                </c:pt>
                <c:pt idx="1">
                  <c:v>0.0</c:v>
                </c:pt>
                <c:pt idx="2">
                  <c:v>0.0</c:v>
                </c:pt>
                <c:pt idx="3">
                  <c:v>0.0</c:v>
                </c:pt>
              </c:numCache>
            </c:numRef>
          </c:val>
        </c:ser>
        <c:ser>
          <c:idx val="4"/>
          <c:order val="4"/>
          <c:tx>
            <c:strRef>
              <c:f>'Response Totals'!$I$29</c:f>
              <c:strCache>
                <c:ptCount val="1"/>
                <c:pt idx="0">
                  <c:v>25-44</c:v>
                </c:pt>
              </c:strCache>
            </c:strRef>
          </c:tx>
          <c:invertIfNegative val="0"/>
          <c:cat>
            <c:strRef>
              <c:f>'Response Totals'!$A$30:$A$33</c:f>
              <c:strCache>
                <c:ptCount val="4"/>
                <c:pt idx="0">
                  <c:v>Very well</c:v>
                </c:pt>
                <c:pt idx="1">
                  <c:v>Understand most</c:v>
                </c:pt>
                <c:pt idx="2">
                  <c:v>Understand some</c:v>
                </c:pt>
                <c:pt idx="3">
                  <c:v>Not at all</c:v>
                </c:pt>
              </c:strCache>
            </c:strRef>
          </c:cat>
          <c:val>
            <c:numRef>
              <c:f>'Response Totals'!$I$30:$I$33</c:f>
              <c:numCache>
                <c:formatCode>General</c:formatCode>
                <c:ptCount val="4"/>
                <c:pt idx="0">
                  <c:v>0.0</c:v>
                </c:pt>
                <c:pt idx="1">
                  <c:v>0.0</c:v>
                </c:pt>
                <c:pt idx="2">
                  <c:v>0.0</c:v>
                </c:pt>
                <c:pt idx="3">
                  <c:v>0.0</c:v>
                </c:pt>
              </c:numCache>
            </c:numRef>
          </c:val>
        </c:ser>
        <c:ser>
          <c:idx val="5"/>
          <c:order val="5"/>
          <c:tx>
            <c:strRef>
              <c:f>'Response Totals'!$J$29</c:f>
              <c:strCache>
                <c:ptCount val="1"/>
                <c:pt idx="0">
                  <c:v>45-54</c:v>
                </c:pt>
              </c:strCache>
            </c:strRef>
          </c:tx>
          <c:invertIfNegative val="0"/>
          <c:cat>
            <c:strRef>
              <c:f>'Response Totals'!$A$30:$A$33</c:f>
              <c:strCache>
                <c:ptCount val="4"/>
                <c:pt idx="0">
                  <c:v>Very well</c:v>
                </c:pt>
                <c:pt idx="1">
                  <c:v>Understand most</c:v>
                </c:pt>
                <c:pt idx="2">
                  <c:v>Understand some</c:v>
                </c:pt>
                <c:pt idx="3">
                  <c:v>Not at all</c:v>
                </c:pt>
              </c:strCache>
            </c:strRef>
          </c:cat>
          <c:val>
            <c:numRef>
              <c:f>'Response Totals'!$J$30:$J$33</c:f>
              <c:numCache>
                <c:formatCode>General</c:formatCode>
                <c:ptCount val="4"/>
                <c:pt idx="0">
                  <c:v>0.0</c:v>
                </c:pt>
                <c:pt idx="1">
                  <c:v>0.0</c:v>
                </c:pt>
                <c:pt idx="2">
                  <c:v>0.0</c:v>
                </c:pt>
                <c:pt idx="3">
                  <c:v>0.0</c:v>
                </c:pt>
              </c:numCache>
            </c:numRef>
          </c:val>
        </c:ser>
        <c:ser>
          <c:idx val="6"/>
          <c:order val="6"/>
          <c:tx>
            <c:strRef>
              <c:f>'Response Totals'!$K$29</c:f>
              <c:strCache>
                <c:ptCount val="1"/>
                <c:pt idx="0">
                  <c:v>55-64</c:v>
                </c:pt>
              </c:strCache>
            </c:strRef>
          </c:tx>
          <c:invertIfNegative val="0"/>
          <c:cat>
            <c:strRef>
              <c:f>'Response Totals'!$A$30:$A$33</c:f>
              <c:strCache>
                <c:ptCount val="4"/>
                <c:pt idx="0">
                  <c:v>Very well</c:v>
                </c:pt>
                <c:pt idx="1">
                  <c:v>Understand most</c:v>
                </c:pt>
                <c:pt idx="2">
                  <c:v>Understand some</c:v>
                </c:pt>
                <c:pt idx="3">
                  <c:v>Not at all</c:v>
                </c:pt>
              </c:strCache>
            </c:strRef>
          </c:cat>
          <c:val>
            <c:numRef>
              <c:f>'Response Totals'!$K$30:$K$33</c:f>
              <c:numCache>
                <c:formatCode>General</c:formatCode>
                <c:ptCount val="4"/>
                <c:pt idx="0">
                  <c:v>0.0</c:v>
                </c:pt>
                <c:pt idx="1">
                  <c:v>0.0</c:v>
                </c:pt>
                <c:pt idx="2">
                  <c:v>0.0</c:v>
                </c:pt>
                <c:pt idx="3">
                  <c:v>0.0</c:v>
                </c:pt>
              </c:numCache>
            </c:numRef>
          </c:val>
        </c:ser>
        <c:ser>
          <c:idx val="7"/>
          <c:order val="7"/>
          <c:tx>
            <c:strRef>
              <c:f>'Response Totals'!$L$29</c:f>
              <c:strCache>
                <c:ptCount val="1"/>
                <c:pt idx="0">
                  <c:v>65-74</c:v>
                </c:pt>
              </c:strCache>
            </c:strRef>
          </c:tx>
          <c:invertIfNegative val="0"/>
          <c:cat>
            <c:strRef>
              <c:f>'Response Totals'!$A$30:$A$33</c:f>
              <c:strCache>
                <c:ptCount val="4"/>
                <c:pt idx="0">
                  <c:v>Very well</c:v>
                </c:pt>
                <c:pt idx="1">
                  <c:v>Understand most</c:v>
                </c:pt>
                <c:pt idx="2">
                  <c:v>Understand some</c:v>
                </c:pt>
                <c:pt idx="3">
                  <c:v>Not at all</c:v>
                </c:pt>
              </c:strCache>
            </c:strRef>
          </c:cat>
          <c:val>
            <c:numRef>
              <c:f>'Response Totals'!$L$30:$L$33</c:f>
              <c:numCache>
                <c:formatCode>General</c:formatCode>
                <c:ptCount val="4"/>
                <c:pt idx="0">
                  <c:v>0.0</c:v>
                </c:pt>
                <c:pt idx="1">
                  <c:v>0.0</c:v>
                </c:pt>
                <c:pt idx="2">
                  <c:v>0.0</c:v>
                </c:pt>
                <c:pt idx="3">
                  <c:v>0.0</c:v>
                </c:pt>
              </c:numCache>
            </c:numRef>
          </c:val>
        </c:ser>
        <c:ser>
          <c:idx val="8"/>
          <c:order val="8"/>
          <c:tx>
            <c:strRef>
              <c:f>'Response Totals'!$M$29</c:f>
              <c:strCache>
                <c:ptCount val="1"/>
                <c:pt idx="0">
                  <c:v>75-84</c:v>
                </c:pt>
              </c:strCache>
            </c:strRef>
          </c:tx>
          <c:invertIfNegative val="0"/>
          <c:cat>
            <c:strRef>
              <c:f>'Response Totals'!$A$30:$A$33</c:f>
              <c:strCache>
                <c:ptCount val="4"/>
                <c:pt idx="0">
                  <c:v>Very well</c:v>
                </c:pt>
                <c:pt idx="1">
                  <c:v>Understand most</c:v>
                </c:pt>
                <c:pt idx="2">
                  <c:v>Understand some</c:v>
                </c:pt>
                <c:pt idx="3">
                  <c:v>Not at all</c:v>
                </c:pt>
              </c:strCache>
            </c:strRef>
          </c:cat>
          <c:val>
            <c:numRef>
              <c:f>'Response Totals'!$M$30:$M$33</c:f>
              <c:numCache>
                <c:formatCode>General</c:formatCode>
                <c:ptCount val="4"/>
                <c:pt idx="0">
                  <c:v>0.0</c:v>
                </c:pt>
                <c:pt idx="1">
                  <c:v>0.0</c:v>
                </c:pt>
                <c:pt idx="2">
                  <c:v>0.0</c:v>
                </c:pt>
                <c:pt idx="3">
                  <c:v>0.0</c:v>
                </c:pt>
              </c:numCache>
            </c:numRef>
          </c:val>
        </c:ser>
        <c:ser>
          <c:idx val="9"/>
          <c:order val="9"/>
          <c:tx>
            <c:strRef>
              <c:f>'Response Totals'!$N$29</c:f>
              <c:strCache>
                <c:ptCount val="1"/>
                <c:pt idx="0">
                  <c:v>85+</c:v>
                </c:pt>
              </c:strCache>
            </c:strRef>
          </c:tx>
          <c:invertIfNegative val="0"/>
          <c:cat>
            <c:strRef>
              <c:f>'Response Totals'!$A$30:$A$33</c:f>
              <c:strCache>
                <c:ptCount val="4"/>
                <c:pt idx="0">
                  <c:v>Very well</c:v>
                </c:pt>
                <c:pt idx="1">
                  <c:v>Understand most</c:v>
                </c:pt>
                <c:pt idx="2">
                  <c:v>Understand some</c:v>
                </c:pt>
                <c:pt idx="3">
                  <c:v>Not at all</c:v>
                </c:pt>
              </c:strCache>
            </c:strRef>
          </c:cat>
          <c:val>
            <c:numRef>
              <c:f>'Response Totals'!$N$30:$N$33</c:f>
              <c:numCache>
                <c:formatCode>General</c:formatCode>
                <c:ptCount val="4"/>
                <c:pt idx="0">
                  <c:v>0.0</c:v>
                </c:pt>
                <c:pt idx="1">
                  <c:v>0.0</c:v>
                </c:pt>
                <c:pt idx="2">
                  <c:v>0.0</c:v>
                </c:pt>
                <c:pt idx="3">
                  <c:v>0.0</c:v>
                </c:pt>
              </c:numCache>
            </c:numRef>
          </c:val>
        </c:ser>
        <c:dLbls>
          <c:showLegendKey val="0"/>
          <c:showVal val="0"/>
          <c:showCatName val="0"/>
          <c:showSerName val="0"/>
          <c:showPercent val="0"/>
          <c:showBubbleSize val="0"/>
        </c:dLbls>
        <c:gapWidth val="150"/>
        <c:axId val="-2086103272"/>
        <c:axId val="-2086110904"/>
      </c:barChart>
      <c:catAx>
        <c:axId val="-2086103272"/>
        <c:scaling>
          <c:orientation val="minMax"/>
        </c:scaling>
        <c:delete val="0"/>
        <c:axPos val="b"/>
        <c:majorTickMark val="out"/>
        <c:minorTickMark val="none"/>
        <c:tickLblPos val="nextTo"/>
        <c:crossAx val="-2086110904"/>
        <c:crosses val="autoZero"/>
        <c:auto val="1"/>
        <c:lblAlgn val="ctr"/>
        <c:lblOffset val="100"/>
        <c:noMultiLvlLbl val="0"/>
      </c:catAx>
      <c:valAx>
        <c:axId val="-2086110904"/>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6103272"/>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1.3 Are you currently learning the</a:t>
            </a:r>
            <a:r>
              <a:rPr lang="en-US" baseline="0"/>
              <a:t> language?</a:t>
            </a:r>
            <a:endParaRPr lang="en-US"/>
          </a:p>
        </c:rich>
      </c:tx>
      <c:overlay val="0"/>
    </c:title>
    <c:autoTitleDeleted val="0"/>
    <c:plotArea>
      <c:layout/>
      <c:barChart>
        <c:barDir val="col"/>
        <c:grouping val="clustered"/>
        <c:varyColors val="0"/>
        <c:ser>
          <c:idx val="0"/>
          <c:order val="0"/>
          <c:tx>
            <c:strRef>
              <c:f>'Response Totals'!$E$36</c:f>
              <c:strCache>
                <c:ptCount val="1"/>
                <c:pt idx="0">
                  <c:v>0-4</c:v>
                </c:pt>
              </c:strCache>
            </c:strRef>
          </c:tx>
          <c:invertIfNegative val="0"/>
          <c:cat>
            <c:strRef>
              <c:f>'Response Totals'!$A$37:$A$38</c:f>
              <c:strCache>
                <c:ptCount val="2"/>
                <c:pt idx="0">
                  <c:v>Yes</c:v>
                </c:pt>
                <c:pt idx="1">
                  <c:v>No</c:v>
                </c:pt>
              </c:strCache>
            </c:strRef>
          </c:cat>
          <c:val>
            <c:numRef>
              <c:f>'Response Totals'!$E$37:$E$38</c:f>
              <c:numCache>
                <c:formatCode>General</c:formatCode>
                <c:ptCount val="2"/>
                <c:pt idx="0">
                  <c:v>0.0</c:v>
                </c:pt>
                <c:pt idx="1">
                  <c:v>0.0</c:v>
                </c:pt>
              </c:numCache>
            </c:numRef>
          </c:val>
        </c:ser>
        <c:ser>
          <c:idx val="1"/>
          <c:order val="1"/>
          <c:tx>
            <c:strRef>
              <c:f>'Response Totals'!$F$36</c:f>
              <c:strCache>
                <c:ptCount val="1"/>
                <c:pt idx="0">
                  <c:v>5-14</c:v>
                </c:pt>
              </c:strCache>
            </c:strRef>
          </c:tx>
          <c:invertIfNegative val="0"/>
          <c:cat>
            <c:strRef>
              <c:f>'Response Totals'!$A$37:$A$38</c:f>
              <c:strCache>
                <c:ptCount val="2"/>
                <c:pt idx="0">
                  <c:v>Yes</c:v>
                </c:pt>
                <c:pt idx="1">
                  <c:v>No</c:v>
                </c:pt>
              </c:strCache>
            </c:strRef>
          </c:cat>
          <c:val>
            <c:numRef>
              <c:f>'Response Totals'!$F$37:$F$38</c:f>
              <c:numCache>
                <c:formatCode>General</c:formatCode>
                <c:ptCount val="2"/>
                <c:pt idx="0">
                  <c:v>0.0</c:v>
                </c:pt>
                <c:pt idx="1">
                  <c:v>0.0</c:v>
                </c:pt>
              </c:numCache>
            </c:numRef>
          </c:val>
        </c:ser>
        <c:ser>
          <c:idx val="2"/>
          <c:order val="2"/>
          <c:tx>
            <c:strRef>
              <c:f>'Response Totals'!$G$36</c:f>
              <c:strCache>
                <c:ptCount val="1"/>
                <c:pt idx="0">
                  <c:v>15-19</c:v>
                </c:pt>
              </c:strCache>
            </c:strRef>
          </c:tx>
          <c:invertIfNegative val="0"/>
          <c:cat>
            <c:strRef>
              <c:f>'Response Totals'!$A$37:$A$38</c:f>
              <c:strCache>
                <c:ptCount val="2"/>
                <c:pt idx="0">
                  <c:v>Yes</c:v>
                </c:pt>
                <c:pt idx="1">
                  <c:v>No</c:v>
                </c:pt>
              </c:strCache>
            </c:strRef>
          </c:cat>
          <c:val>
            <c:numRef>
              <c:f>'Response Totals'!$G$37:$G$38</c:f>
              <c:numCache>
                <c:formatCode>General</c:formatCode>
                <c:ptCount val="2"/>
                <c:pt idx="0">
                  <c:v>0.0</c:v>
                </c:pt>
                <c:pt idx="1">
                  <c:v>0.0</c:v>
                </c:pt>
              </c:numCache>
            </c:numRef>
          </c:val>
        </c:ser>
        <c:ser>
          <c:idx val="3"/>
          <c:order val="3"/>
          <c:tx>
            <c:strRef>
              <c:f>'Response Totals'!$H$36</c:f>
              <c:strCache>
                <c:ptCount val="1"/>
                <c:pt idx="0">
                  <c:v>20-24</c:v>
                </c:pt>
              </c:strCache>
            </c:strRef>
          </c:tx>
          <c:invertIfNegative val="0"/>
          <c:cat>
            <c:strRef>
              <c:f>'Response Totals'!$A$37:$A$38</c:f>
              <c:strCache>
                <c:ptCount val="2"/>
                <c:pt idx="0">
                  <c:v>Yes</c:v>
                </c:pt>
                <c:pt idx="1">
                  <c:v>No</c:v>
                </c:pt>
              </c:strCache>
            </c:strRef>
          </c:cat>
          <c:val>
            <c:numRef>
              <c:f>'Response Totals'!$H$37:$H$38</c:f>
              <c:numCache>
                <c:formatCode>General</c:formatCode>
                <c:ptCount val="2"/>
                <c:pt idx="0">
                  <c:v>0.0</c:v>
                </c:pt>
                <c:pt idx="1">
                  <c:v>0.0</c:v>
                </c:pt>
              </c:numCache>
            </c:numRef>
          </c:val>
        </c:ser>
        <c:ser>
          <c:idx val="4"/>
          <c:order val="4"/>
          <c:tx>
            <c:strRef>
              <c:f>'Response Totals'!$I$36</c:f>
              <c:strCache>
                <c:ptCount val="1"/>
                <c:pt idx="0">
                  <c:v>25-44</c:v>
                </c:pt>
              </c:strCache>
            </c:strRef>
          </c:tx>
          <c:invertIfNegative val="0"/>
          <c:cat>
            <c:strRef>
              <c:f>'Response Totals'!$A$37:$A$38</c:f>
              <c:strCache>
                <c:ptCount val="2"/>
                <c:pt idx="0">
                  <c:v>Yes</c:v>
                </c:pt>
                <c:pt idx="1">
                  <c:v>No</c:v>
                </c:pt>
              </c:strCache>
            </c:strRef>
          </c:cat>
          <c:val>
            <c:numRef>
              <c:f>'Response Totals'!$I$37:$I$38</c:f>
              <c:numCache>
                <c:formatCode>General</c:formatCode>
                <c:ptCount val="2"/>
                <c:pt idx="0">
                  <c:v>0.0</c:v>
                </c:pt>
                <c:pt idx="1">
                  <c:v>0.0</c:v>
                </c:pt>
              </c:numCache>
            </c:numRef>
          </c:val>
        </c:ser>
        <c:ser>
          <c:idx val="5"/>
          <c:order val="5"/>
          <c:tx>
            <c:strRef>
              <c:f>'Response Totals'!$J$36</c:f>
              <c:strCache>
                <c:ptCount val="1"/>
                <c:pt idx="0">
                  <c:v>45-54</c:v>
                </c:pt>
              </c:strCache>
            </c:strRef>
          </c:tx>
          <c:invertIfNegative val="0"/>
          <c:cat>
            <c:strRef>
              <c:f>'Response Totals'!$A$37:$A$38</c:f>
              <c:strCache>
                <c:ptCount val="2"/>
                <c:pt idx="0">
                  <c:v>Yes</c:v>
                </c:pt>
                <c:pt idx="1">
                  <c:v>No</c:v>
                </c:pt>
              </c:strCache>
            </c:strRef>
          </c:cat>
          <c:val>
            <c:numRef>
              <c:f>'Response Totals'!$J$37:$J$38</c:f>
              <c:numCache>
                <c:formatCode>General</c:formatCode>
                <c:ptCount val="2"/>
                <c:pt idx="0">
                  <c:v>0.0</c:v>
                </c:pt>
                <c:pt idx="1">
                  <c:v>0.0</c:v>
                </c:pt>
              </c:numCache>
            </c:numRef>
          </c:val>
        </c:ser>
        <c:ser>
          <c:idx val="6"/>
          <c:order val="6"/>
          <c:tx>
            <c:strRef>
              <c:f>'Response Totals'!$K$36</c:f>
              <c:strCache>
                <c:ptCount val="1"/>
                <c:pt idx="0">
                  <c:v>55-64</c:v>
                </c:pt>
              </c:strCache>
            </c:strRef>
          </c:tx>
          <c:invertIfNegative val="0"/>
          <c:cat>
            <c:strRef>
              <c:f>'Response Totals'!$A$37:$A$38</c:f>
              <c:strCache>
                <c:ptCount val="2"/>
                <c:pt idx="0">
                  <c:v>Yes</c:v>
                </c:pt>
                <c:pt idx="1">
                  <c:v>No</c:v>
                </c:pt>
              </c:strCache>
            </c:strRef>
          </c:cat>
          <c:val>
            <c:numRef>
              <c:f>'Response Totals'!$K$37:$K$38</c:f>
              <c:numCache>
                <c:formatCode>General</c:formatCode>
                <c:ptCount val="2"/>
                <c:pt idx="0">
                  <c:v>0.0</c:v>
                </c:pt>
                <c:pt idx="1">
                  <c:v>0.0</c:v>
                </c:pt>
              </c:numCache>
            </c:numRef>
          </c:val>
        </c:ser>
        <c:ser>
          <c:idx val="7"/>
          <c:order val="7"/>
          <c:tx>
            <c:strRef>
              <c:f>'Response Totals'!$L$36</c:f>
              <c:strCache>
                <c:ptCount val="1"/>
                <c:pt idx="0">
                  <c:v>65-74</c:v>
                </c:pt>
              </c:strCache>
            </c:strRef>
          </c:tx>
          <c:invertIfNegative val="0"/>
          <c:cat>
            <c:strRef>
              <c:f>'Response Totals'!$A$37:$A$38</c:f>
              <c:strCache>
                <c:ptCount val="2"/>
                <c:pt idx="0">
                  <c:v>Yes</c:v>
                </c:pt>
                <c:pt idx="1">
                  <c:v>No</c:v>
                </c:pt>
              </c:strCache>
            </c:strRef>
          </c:cat>
          <c:val>
            <c:numRef>
              <c:f>'Response Totals'!$L$37:$L$38</c:f>
              <c:numCache>
                <c:formatCode>General</c:formatCode>
                <c:ptCount val="2"/>
                <c:pt idx="0">
                  <c:v>0.0</c:v>
                </c:pt>
                <c:pt idx="1">
                  <c:v>0.0</c:v>
                </c:pt>
              </c:numCache>
            </c:numRef>
          </c:val>
        </c:ser>
        <c:ser>
          <c:idx val="8"/>
          <c:order val="8"/>
          <c:tx>
            <c:strRef>
              <c:f>'Response Totals'!$M$36</c:f>
              <c:strCache>
                <c:ptCount val="1"/>
                <c:pt idx="0">
                  <c:v>75-84</c:v>
                </c:pt>
              </c:strCache>
            </c:strRef>
          </c:tx>
          <c:invertIfNegative val="0"/>
          <c:cat>
            <c:strRef>
              <c:f>'Response Totals'!$A$37:$A$38</c:f>
              <c:strCache>
                <c:ptCount val="2"/>
                <c:pt idx="0">
                  <c:v>Yes</c:v>
                </c:pt>
                <c:pt idx="1">
                  <c:v>No</c:v>
                </c:pt>
              </c:strCache>
            </c:strRef>
          </c:cat>
          <c:val>
            <c:numRef>
              <c:f>'Response Totals'!$M$37:$M$38</c:f>
              <c:numCache>
                <c:formatCode>General</c:formatCode>
                <c:ptCount val="2"/>
                <c:pt idx="0">
                  <c:v>0.0</c:v>
                </c:pt>
                <c:pt idx="1">
                  <c:v>0.0</c:v>
                </c:pt>
              </c:numCache>
            </c:numRef>
          </c:val>
        </c:ser>
        <c:ser>
          <c:idx val="9"/>
          <c:order val="9"/>
          <c:tx>
            <c:strRef>
              <c:f>'Response Totals'!$N$36</c:f>
              <c:strCache>
                <c:ptCount val="1"/>
                <c:pt idx="0">
                  <c:v>85+</c:v>
                </c:pt>
              </c:strCache>
            </c:strRef>
          </c:tx>
          <c:invertIfNegative val="0"/>
          <c:cat>
            <c:strRef>
              <c:f>'Response Totals'!$A$37:$A$38</c:f>
              <c:strCache>
                <c:ptCount val="2"/>
                <c:pt idx="0">
                  <c:v>Yes</c:v>
                </c:pt>
                <c:pt idx="1">
                  <c:v>No</c:v>
                </c:pt>
              </c:strCache>
            </c:strRef>
          </c:cat>
          <c:val>
            <c:numRef>
              <c:f>'Response Totals'!$N$37:$N$38</c:f>
              <c:numCache>
                <c:formatCode>General</c:formatCode>
                <c:ptCount val="2"/>
                <c:pt idx="0">
                  <c:v>0.0</c:v>
                </c:pt>
                <c:pt idx="1">
                  <c:v>0.0</c:v>
                </c:pt>
              </c:numCache>
            </c:numRef>
          </c:val>
        </c:ser>
        <c:dLbls>
          <c:showLegendKey val="0"/>
          <c:showVal val="0"/>
          <c:showCatName val="0"/>
          <c:showSerName val="0"/>
          <c:showPercent val="0"/>
          <c:showBubbleSize val="0"/>
        </c:dLbls>
        <c:gapWidth val="100"/>
        <c:axId val="-2086197608"/>
        <c:axId val="-2086202920"/>
      </c:barChart>
      <c:catAx>
        <c:axId val="-2086197608"/>
        <c:scaling>
          <c:orientation val="minMax"/>
        </c:scaling>
        <c:delete val="0"/>
        <c:axPos val="b"/>
        <c:majorTickMark val="out"/>
        <c:minorTickMark val="none"/>
        <c:tickLblPos val="nextTo"/>
        <c:crossAx val="-2086202920"/>
        <c:crosses val="autoZero"/>
        <c:auto val="1"/>
        <c:lblAlgn val="ctr"/>
        <c:lblOffset val="100"/>
        <c:noMultiLvlLbl val="0"/>
      </c:catAx>
      <c:valAx>
        <c:axId val="-2086202920"/>
        <c:scaling>
          <c:orientation val="minMax"/>
        </c:scaling>
        <c:delete val="0"/>
        <c:axPos val="l"/>
        <c:majorGridlines/>
        <c:numFmt formatCode="General" sourceLinked="1"/>
        <c:majorTickMark val="out"/>
        <c:minorTickMark val="none"/>
        <c:tickLblPos val="nextTo"/>
        <c:crossAx val="-2086197608"/>
        <c:crosses val="autoZero"/>
        <c:crossBetween val="between"/>
      </c:valAx>
    </c:plotArea>
    <c:legend>
      <c:legendPos val="b"/>
      <c:overlay val="0"/>
      <c:txPr>
        <a:bodyPr/>
        <a:lstStyle/>
        <a:p>
          <a:pPr>
            <a:defRPr sz="1500"/>
          </a:pPr>
          <a:endParaRPr lang="en-US"/>
        </a:p>
      </c:txPr>
    </c:legend>
    <c:plotVisOnly val="1"/>
    <c:dispBlanksAs val="gap"/>
    <c:showDLblsOverMax val="0"/>
  </c:chart>
  <c:printSettings>
    <c:headerFooter/>
    <c:pageMargins b="1.0" l="0.75" r="0.75" t="1.0"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1800" b="1" i="0" baseline="0">
                <a:effectLst/>
              </a:rPr>
              <a:t>1.4 Estimated number of spoken words in the language</a:t>
            </a:r>
          </a:p>
          <a:p>
            <a:pPr>
              <a:defRPr/>
            </a:pPr>
            <a:endParaRPr lang="en-US">
              <a:effectLst/>
            </a:endParaRPr>
          </a:p>
        </c:rich>
      </c:tx>
      <c:overlay val="0"/>
    </c:title>
    <c:autoTitleDeleted val="0"/>
    <c:plotArea>
      <c:layout/>
      <c:barChart>
        <c:barDir val="col"/>
        <c:grouping val="clustered"/>
        <c:varyColors val="0"/>
        <c:ser>
          <c:idx val="0"/>
          <c:order val="0"/>
          <c:tx>
            <c:strRef>
              <c:f>'Response Totals'!$E$41</c:f>
              <c:strCache>
                <c:ptCount val="1"/>
                <c:pt idx="0">
                  <c:v>0-4</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Totals'!$E$42:$E$49</c:f>
              <c:numCache>
                <c:formatCode>General</c:formatCode>
                <c:ptCount val="8"/>
                <c:pt idx="0">
                  <c:v>0.0</c:v>
                </c:pt>
                <c:pt idx="1">
                  <c:v>0.0</c:v>
                </c:pt>
                <c:pt idx="2">
                  <c:v>0.0</c:v>
                </c:pt>
                <c:pt idx="3">
                  <c:v>0.0</c:v>
                </c:pt>
                <c:pt idx="4">
                  <c:v>0.0</c:v>
                </c:pt>
                <c:pt idx="5">
                  <c:v>0.0</c:v>
                </c:pt>
                <c:pt idx="6">
                  <c:v>0.0</c:v>
                </c:pt>
                <c:pt idx="7">
                  <c:v>0.0</c:v>
                </c:pt>
              </c:numCache>
            </c:numRef>
          </c:val>
        </c:ser>
        <c:ser>
          <c:idx val="1"/>
          <c:order val="1"/>
          <c:tx>
            <c:strRef>
              <c:f>'Response Totals'!$F$41</c:f>
              <c:strCache>
                <c:ptCount val="1"/>
                <c:pt idx="0">
                  <c:v>5-14</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Totals'!$F$42:$F$49</c:f>
              <c:numCache>
                <c:formatCode>General</c:formatCode>
                <c:ptCount val="8"/>
                <c:pt idx="0">
                  <c:v>0.0</c:v>
                </c:pt>
                <c:pt idx="1">
                  <c:v>0.0</c:v>
                </c:pt>
                <c:pt idx="2">
                  <c:v>0.0</c:v>
                </c:pt>
                <c:pt idx="3">
                  <c:v>0.0</c:v>
                </c:pt>
                <c:pt idx="4">
                  <c:v>0.0</c:v>
                </c:pt>
                <c:pt idx="5">
                  <c:v>0.0</c:v>
                </c:pt>
                <c:pt idx="6">
                  <c:v>0.0</c:v>
                </c:pt>
                <c:pt idx="7">
                  <c:v>0.0</c:v>
                </c:pt>
              </c:numCache>
            </c:numRef>
          </c:val>
        </c:ser>
        <c:ser>
          <c:idx val="2"/>
          <c:order val="2"/>
          <c:tx>
            <c:strRef>
              <c:f>'Response Totals'!$G$41</c:f>
              <c:strCache>
                <c:ptCount val="1"/>
                <c:pt idx="0">
                  <c:v>15-19</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Totals'!$G$42:$G$49</c:f>
              <c:numCache>
                <c:formatCode>General</c:formatCode>
                <c:ptCount val="8"/>
                <c:pt idx="0">
                  <c:v>0.0</c:v>
                </c:pt>
                <c:pt idx="1">
                  <c:v>0.0</c:v>
                </c:pt>
                <c:pt idx="2">
                  <c:v>0.0</c:v>
                </c:pt>
                <c:pt idx="3">
                  <c:v>0.0</c:v>
                </c:pt>
                <c:pt idx="4">
                  <c:v>0.0</c:v>
                </c:pt>
                <c:pt idx="5">
                  <c:v>0.0</c:v>
                </c:pt>
                <c:pt idx="6">
                  <c:v>0.0</c:v>
                </c:pt>
                <c:pt idx="7">
                  <c:v>0.0</c:v>
                </c:pt>
              </c:numCache>
            </c:numRef>
          </c:val>
        </c:ser>
        <c:ser>
          <c:idx val="3"/>
          <c:order val="3"/>
          <c:tx>
            <c:strRef>
              <c:f>'Response Totals'!$H$41</c:f>
              <c:strCache>
                <c:ptCount val="1"/>
                <c:pt idx="0">
                  <c:v>20-24</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Totals'!$H$42:$H$49</c:f>
              <c:numCache>
                <c:formatCode>General</c:formatCode>
                <c:ptCount val="8"/>
                <c:pt idx="0">
                  <c:v>0.0</c:v>
                </c:pt>
                <c:pt idx="1">
                  <c:v>0.0</c:v>
                </c:pt>
                <c:pt idx="2">
                  <c:v>0.0</c:v>
                </c:pt>
                <c:pt idx="3">
                  <c:v>0.0</c:v>
                </c:pt>
                <c:pt idx="4">
                  <c:v>0.0</c:v>
                </c:pt>
                <c:pt idx="5">
                  <c:v>0.0</c:v>
                </c:pt>
                <c:pt idx="6">
                  <c:v>0.0</c:v>
                </c:pt>
                <c:pt idx="7">
                  <c:v>0.0</c:v>
                </c:pt>
              </c:numCache>
            </c:numRef>
          </c:val>
        </c:ser>
        <c:ser>
          <c:idx val="4"/>
          <c:order val="4"/>
          <c:tx>
            <c:strRef>
              <c:f>'Response Totals'!$I$41</c:f>
              <c:strCache>
                <c:ptCount val="1"/>
                <c:pt idx="0">
                  <c:v>25-44</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Totals'!$I$42:$I$49</c:f>
              <c:numCache>
                <c:formatCode>General</c:formatCode>
                <c:ptCount val="8"/>
                <c:pt idx="0">
                  <c:v>0.0</c:v>
                </c:pt>
                <c:pt idx="1">
                  <c:v>0.0</c:v>
                </c:pt>
                <c:pt idx="2">
                  <c:v>0.0</c:v>
                </c:pt>
                <c:pt idx="3">
                  <c:v>0.0</c:v>
                </c:pt>
                <c:pt idx="4">
                  <c:v>0.0</c:v>
                </c:pt>
                <c:pt idx="5">
                  <c:v>0.0</c:v>
                </c:pt>
                <c:pt idx="6">
                  <c:v>0.0</c:v>
                </c:pt>
                <c:pt idx="7">
                  <c:v>0.0</c:v>
                </c:pt>
              </c:numCache>
            </c:numRef>
          </c:val>
        </c:ser>
        <c:ser>
          <c:idx val="5"/>
          <c:order val="5"/>
          <c:tx>
            <c:strRef>
              <c:f>'Response Totals'!$J$41</c:f>
              <c:strCache>
                <c:ptCount val="1"/>
                <c:pt idx="0">
                  <c:v>45-54</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Totals'!$J$42:$J$49</c:f>
              <c:numCache>
                <c:formatCode>General</c:formatCode>
                <c:ptCount val="8"/>
                <c:pt idx="0">
                  <c:v>0.0</c:v>
                </c:pt>
                <c:pt idx="1">
                  <c:v>0.0</c:v>
                </c:pt>
                <c:pt idx="2">
                  <c:v>0.0</c:v>
                </c:pt>
                <c:pt idx="3">
                  <c:v>0.0</c:v>
                </c:pt>
                <c:pt idx="4">
                  <c:v>0.0</c:v>
                </c:pt>
                <c:pt idx="5">
                  <c:v>0.0</c:v>
                </c:pt>
                <c:pt idx="6">
                  <c:v>0.0</c:v>
                </c:pt>
                <c:pt idx="7">
                  <c:v>0.0</c:v>
                </c:pt>
              </c:numCache>
            </c:numRef>
          </c:val>
        </c:ser>
        <c:ser>
          <c:idx val="6"/>
          <c:order val="6"/>
          <c:tx>
            <c:strRef>
              <c:f>'Response Totals'!$K$41</c:f>
              <c:strCache>
                <c:ptCount val="1"/>
                <c:pt idx="0">
                  <c:v>55-64</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Totals'!$K$42:$K$49</c:f>
              <c:numCache>
                <c:formatCode>General</c:formatCode>
                <c:ptCount val="8"/>
                <c:pt idx="0">
                  <c:v>0.0</c:v>
                </c:pt>
                <c:pt idx="1">
                  <c:v>0.0</c:v>
                </c:pt>
                <c:pt idx="2">
                  <c:v>0.0</c:v>
                </c:pt>
                <c:pt idx="3">
                  <c:v>0.0</c:v>
                </c:pt>
                <c:pt idx="4">
                  <c:v>0.0</c:v>
                </c:pt>
                <c:pt idx="5">
                  <c:v>0.0</c:v>
                </c:pt>
                <c:pt idx="6">
                  <c:v>0.0</c:v>
                </c:pt>
                <c:pt idx="7">
                  <c:v>0.0</c:v>
                </c:pt>
              </c:numCache>
            </c:numRef>
          </c:val>
        </c:ser>
        <c:ser>
          <c:idx val="7"/>
          <c:order val="7"/>
          <c:tx>
            <c:strRef>
              <c:f>'Response Totals'!$L$41</c:f>
              <c:strCache>
                <c:ptCount val="1"/>
                <c:pt idx="0">
                  <c:v>65-74</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Totals'!$L$42:$L$49</c:f>
              <c:numCache>
                <c:formatCode>General</c:formatCode>
                <c:ptCount val="8"/>
                <c:pt idx="0">
                  <c:v>0.0</c:v>
                </c:pt>
                <c:pt idx="1">
                  <c:v>0.0</c:v>
                </c:pt>
                <c:pt idx="2">
                  <c:v>0.0</c:v>
                </c:pt>
                <c:pt idx="3">
                  <c:v>0.0</c:v>
                </c:pt>
                <c:pt idx="4">
                  <c:v>0.0</c:v>
                </c:pt>
                <c:pt idx="5">
                  <c:v>0.0</c:v>
                </c:pt>
                <c:pt idx="6">
                  <c:v>0.0</c:v>
                </c:pt>
                <c:pt idx="7">
                  <c:v>0.0</c:v>
                </c:pt>
              </c:numCache>
            </c:numRef>
          </c:val>
        </c:ser>
        <c:ser>
          <c:idx val="8"/>
          <c:order val="8"/>
          <c:tx>
            <c:strRef>
              <c:f>'Response Totals'!$M$41</c:f>
              <c:strCache>
                <c:ptCount val="1"/>
                <c:pt idx="0">
                  <c:v>75-84</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Totals'!$M$42:$M$49</c:f>
              <c:numCache>
                <c:formatCode>General</c:formatCode>
                <c:ptCount val="8"/>
                <c:pt idx="0">
                  <c:v>0.0</c:v>
                </c:pt>
                <c:pt idx="1">
                  <c:v>0.0</c:v>
                </c:pt>
                <c:pt idx="2">
                  <c:v>0.0</c:v>
                </c:pt>
                <c:pt idx="3">
                  <c:v>0.0</c:v>
                </c:pt>
                <c:pt idx="4">
                  <c:v>0.0</c:v>
                </c:pt>
                <c:pt idx="5">
                  <c:v>0.0</c:v>
                </c:pt>
                <c:pt idx="6">
                  <c:v>0.0</c:v>
                </c:pt>
                <c:pt idx="7">
                  <c:v>0.0</c:v>
                </c:pt>
              </c:numCache>
            </c:numRef>
          </c:val>
        </c:ser>
        <c:ser>
          <c:idx val="9"/>
          <c:order val="9"/>
          <c:tx>
            <c:strRef>
              <c:f>'Response Totals'!$N$41</c:f>
              <c:strCache>
                <c:ptCount val="1"/>
                <c:pt idx="0">
                  <c:v>85+</c:v>
                </c:pt>
              </c:strCache>
            </c:strRef>
          </c:tx>
          <c:invertIfNegative val="0"/>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Totals'!$N$42:$N$49</c:f>
              <c:numCache>
                <c:formatCode>General</c:formatCode>
                <c:ptCount val="8"/>
                <c:pt idx="0">
                  <c:v>0.0</c:v>
                </c:pt>
                <c:pt idx="1">
                  <c:v>0.0</c:v>
                </c:pt>
                <c:pt idx="2">
                  <c:v>0.0</c:v>
                </c:pt>
                <c:pt idx="3">
                  <c:v>0.0</c:v>
                </c:pt>
                <c:pt idx="4">
                  <c:v>0.0</c:v>
                </c:pt>
                <c:pt idx="5">
                  <c:v>0.0</c:v>
                </c:pt>
                <c:pt idx="6">
                  <c:v>0.0</c:v>
                </c:pt>
                <c:pt idx="7">
                  <c:v>0.0</c:v>
                </c:pt>
              </c:numCache>
            </c:numRef>
          </c:val>
        </c:ser>
        <c:dLbls>
          <c:showLegendKey val="0"/>
          <c:showVal val="0"/>
          <c:showCatName val="0"/>
          <c:showSerName val="0"/>
          <c:showPercent val="0"/>
          <c:showBubbleSize val="0"/>
        </c:dLbls>
        <c:gapWidth val="150"/>
        <c:axId val="-2086287272"/>
        <c:axId val="-2086299080"/>
      </c:barChart>
      <c:catAx>
        <c:axId val="-2086287272"/>
        <c:scaling>
          <c:orientation val="minMax"/>
        </c:scaling>
        <c:delete val="0"/>
        <c:axPos val="b"/>
        <c:title>
          <c:tx>
            <c:rich>
              <a:bodyPr/>
              <a:lstStyle/>
              <a:p>
                <a:pPr>
                  <a:defRPr/>
                </a:pPr>
                <a:r>
                  <a:rPr lang="en-US"/>
                  <a:t>Number</a:t>
                </a:r>
                <a:r>
                  <a:rPr lang="en-US" baseline="0"/>
                  <a:t> of words</a:t>
                </a:r>
              </a:p>
            </c:rich>
          </c:tx>
          <c:overlay val="0"/>
        </c:title>
        <c:majorTickMark val="out"/>
        <c:minorTickMark val="none"/>
        <c:tickLblPos val="nextTo"/>
        <c:crossAx val="-2086299080"/>
        <c:crosses val="autoZero"/>
        <c:auto val="1"/>
        <c:lblAlgn val="ctr"/>
        <c:lblOffset val="100"/>
        <c:noMultiLvlLbl val="0"/>
      </c:catAx>
      <c:valAx>
        <c:axId val="-2086299080"/>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6287272"/>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1.5 Estimated number of words understood in the language</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Totals'!$E$52</c:f>
              <c:strCache>
                <c:ptCount val="1"/>
                <c:pt idx="0">
                  <c:v>0-4</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Totals'!$E$53:$E$60</c:f>
              <c:numCache>
                <c:formatCode>General</c:formatCode>
                <c:ptCount val="8"/>
                <c:pt idx="0">
                  <c:v>0.0</c:v>
                </c:pt>
                <c:pt idx="1">
                  <c:v>0.0</c:v>
                </c:pt>
                <c:pt idx="2">
                  <c:v>0.0</c:v>
                </c:pt>
                <c:pt idx="3">
                  <c:v>0.0</c:v>
                </c:pt>
                <c:pt idx="4">
                  <c:v>0.0</c:v>
                </c:pt>
                <c:pt idx="5">
                  <c:v>0.0</c:v>
                </c:pt>
                <c:pt idx="6">
                  <c:v>0.0</c:v>
                </c:pt>
                <c:pt idx="7">
                  <c:v>0.0</c:v>
                </c:pt>
              </c:numCache>
            </c:numRef>
          </c:val>
        </c:ser>
        <c:ser>
          <c:idx val="1"/>
          <c:order val="1"/>
          <c:tx>
            <c:strRef>
              <c:f>'Response Totals'!$F$52</c:f>
              <c:strCache>
                <c:ptCount val="1"/>
                <c:pt idx="0">
                  <c:v>5-14</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Totals'!$F$53:$F$60</c:f>
              <c:numCache>
                <c:formatCode>General</c:formatCode>
                <c:ptCount val="8"/>
                <c:pt idx="0">
                  <c:v>0.0</c:v>
                </c:pt>
                <c:pt idx="1">
                  <c:v>0.0</c:v>
                </c:pt>
                <c:pt idx="2">
                  <c:v>0.0</c:v>
                </c:pt>
                <c:pt idx="3">
                  <c:v>0.0</c:v>
                </c:pt>
                <c:pt idx="4">
                  <c:v>0.0</c:v>
                </c:pt>
                <c:pt idx="5">
                  <c:v>0.0</c:v>
                </c:pt>
                <c:pt idx="6">
                  <c:v>0.0</c:v>
                </c:pt>
                <c:pt idx="7">
                  <c:v>0.0</c:v>
                </c:pt>
              </c:numCache>
            </c:numRef>
          </c:val>
        </c:ser>
        <c:ser>
          <c:idx val="2"/>
          <c:order val="2"/>
          <c:tx>
            <c:strRef>
              <c:f>'Response Totals'!$G$52</c:f>
              <c:strCache>
                <c:ptCount val="1"/>
                <c:pt idx="0">
                  <c:v>15-19</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Totals'!$G$53:$G$60</c:f>
              <c:numCache>
                <c:formatCode>General</c:formatCode>
                <c:ptCount val="8"/>
                <c:pt idx="0">
                  <c:v>0.0</c:v>
                </c:pt>
                <c:pt idx="1">
                  <c:v>0.0</c:v>
                </c:pt>
                <c:pt idx="2">
                  <c:v>0.0</c:v>
                </c:pt>
                <c:pt idx="3">
                  <c:v>0.0</c:v>
                </c:pt>
                <c:pt idx="4">
                  <c:v>0.0</c:v>
                </c:pt>
                <c:pt idx="5">
                  <c:v>0.0</c:v>
                </c:pt>
                <c:pt idx="6">
                  <c:v>0.0</c:v>
                </c:pt>
                <c:pt idx="7">
                  <c:v>0.0</c:v>
                </c:pt>
              </c:numCache>
            </c:numRef>
          </c:val>
        </c:ser>
        <c:ser>
          <c:idx val="3"/>
          <c:order val="3"/>
          <c:tx>
            <c:strRef>
              <c:f>'Response Totals'!$H$52</c:f>
              <c:strCache>
                <c:ptCount val="1"/>
                <c:pt idx="0">
                  <c:v>20-24</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Totals'!$H$53:$H$60</c:f>
              <c:numCache>
                <c:formatCode>General</c:formatCode>
                <c:ptCount val="8"/>
                <c:pt idx="0">
                  <c:v>0.0</c:v>
                </c:pt>
                <c:pt idx="1">
                  <c:v>0.0</c:v>
                </c:pt>
                <c:pt idx="2">
                  <c:v>0.0</c:v>
                </c:pt>
                <c:pt idx="3">
                  <c:v>0.0</c:v>
                </c:pt>
                <c:pt idx="4">
                  <c:v>0.0</c:v>
                </c:pt>
                <c:pt idx="5">
                  <c:v>0.0</c:v>
                </c:pt>
                <c:pt idx="6">
                  <c:v>0.0</c:v>
                </c:pt>
                <c:pt idx="7">
                  <c:v>0.0</c:v>
                </c:pt>
              </c:numCache>
            </c:numRef>
          </c:val>
        </c:ser>
        <c:ser>
          <c:idx val="4"/>
          <c:order val="4"/>
          <c:tx>
            <c:strRef>
              <c:f>'Response Totals'!$I$52</c:f>
              <c:strCache>
                <c:ptCount val="1"/>
                <c:pt idx="0">
                  <c:v>25-44</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Totals'!$I$53:$I$60</c:f>
              <c:numCache>
                <c:formatCode>General</c:formatCode>
                <c:ptCount val="8"/>
                <c:pt idx="0">
                  <c:v>0.0</c:v>
                </c:pt>
                <c:pt idx="1">
                  <c:v>0.0</c:v>
                </c:pt>
                <c:pt idx="2">
                  <c:v>0.0</c:v>
                </c:pt>
                <c:pt idx="3">
                  <c:v>0.0</c:v>
                </c:pt>
                <c:pt idx="4">
                  <c:v>0.0</c:v>
                </c:pt>
                <c:pt idx="5">
                  <c:v>0.0</c:v>
                </c:pt>
                <c:pt idx="6">
                  <c:v>0.0</c:v>
                </c:pt>
                <c:pt idx="7">
                  <c:v>0.0</c:v>
                </c:pt>
              </c:numCache>
            </c:numRef>
          </c:val>
        </c:ser>
        <c:ser>
          <c:idx val="5"/>
          <c:order val="5"/>
          <c:tx>
            <c:strRef>
              <c:f>'Response Totals'!$J$52</c:f>
              <c:strCache>
                <c:ptCount val="1"/>
                <c:pt idx="0">
                  <c:v>45-54</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Totals'!$J$53:$J$60</c:f>
              <c:numCache>
                <c:formatCode>General</c:formatCode>
                <c:ptCount val="8"/>
                <c:pt idx="0">
                  <c:v>0.0</c:v>
                </c:pt>
                <c:pt idx="1">
                  <c:v>0.0</c:v>
                </c:pt>
                <c:pt idx="2">
                  <c:v>0.0</c:v>
                </c:pt>
                <c:pt idx="3">
                  <c:v>0.0</c:v>
                </c:pt>
                <c:pt idx="4">
                  <c:v>0.0</c:v>
                </c:pt>
                <c:pt idx="5">
                  <c:v>0.0</c:v>
                </c:pt>
                <c:pt idx="6">
                  <c:v>0.0</c:v>
                </c:pt>
                <c:pt idx="7">
                  <c:v>0.0</c:v>
                </c:pt>
              </c:numCache>
            </c:numRef>
          </c:val>
        </c:ser>
        <c:ser>
          <c:idx val="6"/>
          <c:order val="6"/>
          <c:tx>
            <c:strRef>
              <c:f>'Response Totals'!$K$52</c:f>
              <c:strCache>
                <c:ptCount val="1"/>
                <c:pt idx="0">
                  <c:v>55-64</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Totals'!$K$53:$K$60</c:f>
              <c:numCache>
                <c:formatCode>General</c:formatCode>
                <c:ptCount val="8"/>
                <c:pt idx="0">
                  <c:v>0.0</c:v>
                </c:pt>
                <c:pt idx="1">
                  <c:v>0.0</c:v>
                </c:pt>
                <c:pt idx="2">
                  <c:v>0.0</c:v>
                </c:pt>
                <c:pt idx="3">
                  <c:v>0.0</c:v>
                </c:pt>
                <c:pt idx="4">
                  <c:v>0.0</c:v>
                </c:pt>
                <c:pt idx="5">
                  <c:v>0.0</c:v>
                </c:pt>
                <c:pt idx="6">
                  <c:v>0.0</c:v>
                </c:pt>
                <c:pt idx="7">
                  <c:v>0.0</c:v>
                </c:pt>
              </c:numCache>
            </c:numRef>
          </c:val>
        </c:ser>
        <c:ser>
          <c:idx val="7"/>
          <c:order val="7"/>
          <c:tx>
            <c:strRef>
              <c:f>'Response Totals'!$L$52</c:f>
              <c:strCache>
                <c:ptCount val="1"/>
                <c:pt idx="0">
                  <c:v>65-74</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Totals'!$L$53:$L$60</c:f>
              <c:numCache>
                <c:formatCode>General</c:formatCode>
                <c:ptCount val="8"/>
                <c:pt idx="0">
                  <c:v>0.0</c:v>
                </c:pt>
                <c:pt idx="1">
                  <c:v>0.0</c:v>
                </c:pt>
                <c:pt idx="2">
                  <c:v>0.0</c:v>
                </c:pt>
                <c:pt idx="3">
                  <c:v>0.0</c:v>
                </c:pt>
                <c:pt idx="4">
                  <c:v>0.0</c:v>
                </c:pt>
                <c:pt idx="5">
                  <c:v>0.0</c:v>
                </c:pt>
                <c:pt idx="6">
                  <c:v>0.0</c:v>
                </c:pt>
                <c:pt idx="7">
                  <c:v>0.0</c:v>
                </c:pt>
              </c:numCache>
            </c:numRef>
          </c:val>
        </c:ser>
        <c:ser>
          <c:idx val="8"/>
          <c:order val="8"/>
          <c:tx>
            <c:strRef>
              <c:f>'Response Totals'!$M$52</c:f>
              <c:strCache>
                <c:ptCount val="1"/>
                <c:pt idx="0">
                  <c:v>75-84</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Totals'!$M$53:$M$60</c:f>
              <c:numCache>
                <c:formatCode>General</c:formatCode>
                <c:ptCount val="8"/>
                <c:pt idx="0">
                  <c:v>0.0</c:v>
                </c:pt>
                <c:pt idx="1">
                  <c:v>0.0</c:v>
                </c:pt>
                <c:pt idx="2">
                  <c:v>0.0</c:v>
                </c:pt>
                <c:pt idx="3">
                  <c:v>0.0</c:v>
                </c:pt>
                <c:pt idx="4">
                  <c:v>0.0</c:v>
                </c:pt>
                <c:pt idx="5">
                  <c:v>0.0</c:v>
                </c:pt>
                <c:pt idx="6">
                  <c:v>0.0</c:v>
                </c:pt>
                <c:pt idx="7">
                  <c:v>0.0</c:v>
                </c:pt>
              </c:numCache>
            </c:numRef>
          </c:val>
        </c:ser>
        <c:ser>
          <c:idx val="9"/>
          <c:order val="9"/>
          <c:tx>
            <c:strRef>
              <c:f>'Response Totals'!$N$52</c:f>
              <c:strCache>
                <c:ptCount val="1"/>
                <c:pt idx="0">
                  <c:v>85+</c:v>
                </c:pt>
              </c:strCache>
            </c:strRef>
          </c:tx>
          <c:invertIfNegative val="0"/>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Totals'!$N$53:$N$60</c:f>
              <c:numCache>
                <c:formatCode>General</c:formatCode>
                <c:ptCount val="8"/>
                <c:pt idx="0">
                  <c:v>0.0</c:v>
                </c:pt>
                <c:pt idx="1">
                  <c:v>0.0</c:v>
                </c:pt>
                <c:pt idx="2">
                  <c:v>0.0</c:v>
                </c:pt>
                <c:pt idx="3">
                  <c:v>0.0</c:v>
                </c:pt>
                <c:pt idx="4">
                  <c:v>0.0</c:v>
                </c:pt>
                <c:pt idx="5">
                  <c:v>0.0</c:v>
                </c:pt>
                <c:pt idx="6">
                  <c:v>0.0</c:v>
                </c:pt>
                <c:pt idx="7">
                  <c:v>0.0</c:v>
                </c:pt>
              </c:numCache>
            </c:numRef>
          </c:val>
        </c:ser>
        <c:dLbls>
          <c:showLegendKey val="0"/>
          <c:showVal val="0"/>
          <c:showCatName val="0"/>
          <c:showSerName val="0"/>
          <c:showPercent val="0"/>
          <c:showBubbleSize val="0"/>
        </c:dLbls>
        <c:gapWidth val="150"/>
        <c:axId val="-2079963528"/>
        <c:axId val="-2079957960"/>
      </c:barChart>
      <c:catAx>
        <c:axId val="-2079963528"/>
        <c:scaling>
          <c:orientation val="minMax"/>
        </c:scaling>
        <c:delete val="0"/>
        <c:axPos val="b"/>
        <c:title>
          <c:tx>
            <c:rich>
              <a:bodyPr/>
              <a:lstStyle/>
              <a:p>
                <a:pPr>
                  <a:defRPr/>
                </a:pPr>
                <a:r>
                  <a:rPr lang="en-US"/>
                  <a:t>Number</a:t>
                </a:r>
                <a:r>
                  <a:rPr lang="en-US" baseline="0"/>
                  <a:t> of words</a:t>
                </a:r>
              </a:p>
            </c:rich>
          </c:tx>
          <c:overlay val="0"/>
        </c:title>
        <c:majorTickMark val="out"/>
        <c:minorTickMark val="none"/>
        <c:tickLblPos val="nextTo"/>
        <c:crossAx val="-2079957960"/>
        <c:crosses val="autoZero"/>
        <c:auto val="1"/>
        <c:lblAlgn val="ctr"/>
        <c:lblOffset val="100"/>
        <c:noMultiLvlLbl val="0"/>
      </c:catAx>
      <c:valAx>
        <c:axId val="-2079957960"/>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79963528"/>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1.6 Number of fluent speakers known by participants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Totals'!$E$63</c:f>
              <c:strCache>
                <c:ptCount val="1"/>
                <c:pt idx="0">
                  <c:v>0-4</c:v>
                </c:pt>
              </c:strCache>
            </c:strRef>
          </c:tx>
          <c:invertIfNegative val="0"/>
          <c:cat>
            <c:strRef>
              <c:f>'Response Totals'!$A$64:$A$68</c:f>
              <c:strCache>
                <c:ptCount val="5"/>
                <c:pt idx="0">
                  <c:v>0</c:v>
                </c:pt>
                <c:pt idx="1">
                  <c:v>1-3</c:v>
                </c:pt>
                <c:pt idx="2">
                  <c:v>4-6</c:v>
                </c:pt>
                <c:pt idx="3">
                  <c:v>7-10</c:v>
                </c:pt>
                <c:pt idx="4">
                  <c:v>10 or more</c:v>
                </c:pt>
              </c:strCache>
            </c:strRef>
          </c:cat>
          <c:val>
            <c:numRef>
              <c:f>'Response Totals'!$E$64:$E$68</c:f>
              <c:numCache>
                <c:formatCode>General</c:formatCode>
                <c:ptCount val="5"/>
                <c:pt idx="0">
                  <c:v>0.0</c:v>
                </c:pt>
                <c:pt idx="1">
                  <c:v>0.0</c:v>
                </c:pt>
                <c:pt idx="2">
                  <c:v>0.0</c:v>
                </c:pt>
                <c:pt idx="3">
                  <c:v>0.0</c:v>
                </c:pt>
                <c:pt idx="4">
                  <c:v>0.0</c:v>
                </c:pt>
              </c:numCache>
            </c:numRef>
          </c:val>
        </c:ser>
        <c:ser>
          <c:idx val="1"/>
          <c:order val="1"/>
          <c:tx>
            <c:strRef>
              <c:f>'Response Totals'!$F$63</c:f>
              <c:strCache>
                <c:ptCount val="1"/>
                <c:pt idx="0">
                  <c:v>5-14</c:v>
                </c:pt>
              </c:strCache>
            </c:strRef>
          </c:tx>
          <c:invertIfNegative val="0"/>
          <c:cat>
            <c:strRef>
              <c:f>'Response Totals'!$A$64:$A$68</c:f>
              <c:strCache>
                <c:ptCount val="5"/>
                <c:pt idx="0">
                  <c:v>0</c:v>
                </c:pt>
                <c:pt idx="1">
                  <c:v>1-3</c:v>
                </c:pt>
                <c:pt idx="2">
                  <c:v>4-6</c:v>
                </c:pt>
                <c:pt idx="3">
                  <c:v>7-10</c:v>
                </c:pt>
                <c:pt idx="4">
                  <c:v>10 or more</c:v>
                </c:pt>
              </c:strCache>
            </c:strRef>
          </c:cat>
          <c:val>
            <c:numRef>
              <c:f>'Response Totals'!$F$64:$F$68</c:f>
              <c:numCache>
                <c:formatCode>General</c:formatCode>
                <c:ptCount val="5"/>
                <c:pt idx="0">
                  <c:v>0.0</c:v>
                </c:pt>
                <c:pt idx="1">
                  <c:v>0.0</c:v>
                </c:pt>
                <c:pt idx="2">
                  <c:v>0.0</c:v>
                </c:pt>
                <c:pt idx="3">
                  <c:v>0.0</c:v>
                </c:pt>
                <c:pt idx="4">
                  <c:v>0.0</c:v>
                </c:pt>
              </c:numCache>
            </c:numRef>
          </c:val>
        </c:ser>
        <c:ser>
          <c:idx val="2"/>
          <c:order val="2"/>
          <c:tx>
            <c:strRef>
              <c:f>'Response Totals'!$G$63</c:f>
              <c:strCache>
                <c:ptCount val="1"/>
                <c:pt idx="0">
                  <c:v>15-19</c:v>
                </c:pt>
              </c:strCache>
            </c:strRef>
          </c:tx>
          <c:invertIfNegative val="0"/>
          <c:cat>
            <c:strRef>
              <c:f>'Response Totals'!$A$64:$A$68</c:f>
              <c:strCache>
                <c:ptCount val="5"/>
                <c:pt idx="0">
                  <c:v>0</c:v>
                </c:pt>
                <c:pt idx="1">
                  <c:v>1-3</c:v>
                </c:pt>
                <c:pt idx="2">
                  <c:v>4-6</c:v>
                </c:pt>
                <c:pt idx="3">
                  <c:v>7-10</c:v>
                </c:pt>
                <c:pt idx="4">
                  <c:v>10 or more</c:v>
                </c:pt>
              </c:strCache>
            </c:strRef>
          </c:cat>
          <c:val>
            <c:numRef>
              <c:f>'Response Totals'!$G$64:$G$68</c:f>
              <c:numCache>
                <c:formatCode>General</c:formatCode>
                <c:ptCount val="5"/>
                <c:pt idx="0">
                  <c:v>0.0</c:v>
                </c:pt>
                <c:pt idx="1">
                  <c:v>0.0</c:v>
                </c:pt>
                <c:pt idx="2">
                  <c:v>0.0</c:v>
                </c:pt>
                <c:pt idx="3">
                  <c:v>0.0</c:v>
                </c:pt>
                <c:pt idx="4">
                  <c:v>0.0</c:v>
                </c:pt>
              </c:numCache>
            </c:numRef>
          </c:val>
        </c:ser>
        <c:ser>
          <c:idx val="3"/>
          <c:order val="3"/>
          <c:tx>
            <c:strRef>
              <c:f>'Response Totals'!$H$63</c:f>
              <c:strCache>
                <c:ptCount val="1"/>
                <c:pt idx="0">
                  <c:v>20-24</c:v>
                </c:pt>
              </c:strCache>
            </c:strRef>
          </c:tx>
          <c:invertIfNegative val="0"/>
          <c:cat>
            <c:strRef>
              <c:f>'Response Totals'!$A$64:$A$68</c:f>
              <c:strCache>
                <c:ptCount val="5"/>
                <c:pt idx="0">
                  <c:v>0</c:v>
                </c:pt>
                <c:pt idx="1">
                  <c:v>1-3</c:v>
                </c:pt>
                <c:pt idx="2">
                  <c:v>4-6</c:v>
                </c:pt>
                <c:pt idx="3">
                  <c:v>7-10</c:v>
                </c:pt>
                <c:pt idx="4">
                  <c:v>10 or more</c:v>
                </c:pt>
              </c:strCache>
            </c:strRef>
          </c:cat>
          <c:val>
            <c:numRef>
              <c:f>'Response Totals'!$H$64:$H$68</c:f>
              <c:numCache>
                <c:formatCode>General</c:formatCode>
                <c:ptCount val="5"/>
                <c:pt idx="0">
                  <c:v>0.0</c:v>
                </c:pt>
                <c:pt idx="1">
                  <c:v>0.0</c:v>
                </c:pt>
                <c:pt idx="2">
                  <c:v>0.0</c:v>
                </c:pt>
                <c:pt idx="3">
                  <c:v>0.0</c:v>
                </c:pt>
                <c:pt idx="4">
                  <c:v>0.0</c:v>
                </c:pt>
              </c:numCache>
            </c:numRef>
          </c:val>
        </c:ser>
        <c:ser>
          <c:idx val="4"/>
          <c:order val="4"/>
          <c:tx>
            <c:strRef>
              <c:f>'Response Totals'!$I$63</c:f>
              <c:strCache>
                <c:ptCount val="1"/>
                <c:pt idx="0">
                  <c:v>25-44</c:v>
                </c:pt>
              </c:strCache>
            </c:strRef>
          </c:tx>
          <c:invertIfNegative val="0"/>
          <c:cat>
            <c:strRef>
              <c:f>'Response Totals'!$A$64:$A$68</c:f>
              <c:strCache>
                <c:ptCount val="5"/>
                <c:pt idx="0">
                  <c:v>0</c:v>
                </c:pt>
                <c:pt idx="1">
                  <c:v>1-3</c:v>
                </c:pt>
                <c:pt idx="2">
                  <c:v>4-6</c:v>
                </c:pt>
                <c:pt idx="3">
                  <c:v>7-10</c:v>
                </c:pt>
                <c:pt idx="4">
                  <c:v>10 or more</c:v>
                </c:pt>
              </c:strCache>
            </c:strRef>
          </c:cat>
          <c:val>
            <c:numRef>
              <c:f>'Response Totals'!$I$64:$I$68</c:f>
              <c:numCache>
                <c:formatCode>General</c:formatCode>
                <c:ptCount val="5"/>
                <c:pt idx="0">
                  <c:v>0.0</c:v>
                </c:pt>
                <c:pt idx="1">
                  <c:v>0.0</c:v>
                </c:pt>
                <c:pt idx="2">
                  <c:v>0.0</c:v>
                </c:pt>
                <c:pt idx="3">
                  <c:v>0.0</c:v>
                </c:pt>
                <c:pt idx="4">
                  <c:v>0.0</c:v>
                </c:pt>
              </c:numCache>
            </c:numRef>
          </c:val>
        </c:ser>
        <c:ser>
          <c:idx val="5"/>
          <c:order val="5"/>
          <c:tx>
            <c:strRef>
              <c:f>'Response Totals'!$J$63</c:f>
              <c:strCache>
                <c:ptCount val="1"/>
                <c:pt idx="0">
                  <c:v>45-54</c:v>
                </c:pt>
              </c:strCache>
            </c:strRef>
          </c:tx>
          <c:invertIfNegative val="0"/>
          <c:cat>
            <c:strRef>
              <c:f>'Response Totals'!$A$64:$A$68</c:f>
              <c:strCache>
                <c:ptCount val="5"/>
                <c:pt idx="0">
                  <c:v>0</c:v>
                </c:pt>
                <c:pt idx="1">
                  <c:v>1-3</c:v>
                </c:pt>
                <c:pt idx="2">
                  <c:v>4-6</c:v>
                </c:pt>
                <c:pt idx="3">
                  <c:v>7-10</c:v>
                </c:pt>
                <c:pt idx="4">
                  <c:v>10 or more</c:v>
                </c:pt>
              </c:strCache>
            </c:strRef>
          </c:cat>
          <c:val>
            <c:numRef>
              <c:f>'Response Totals'!$J$64:$J$68</c:f>
              <c:numCache>
                <c:formatCode>General</c:formatCode>
                <c:ptCount val="5"/>
                <c:pt idx="0">
                  <c:v>0.0</c:v>
                </c:pt>
                <c:pt idx="1">
                  <c:v>0.0</c:v>
                </c:pt>
                <c:pt idx="2">
                  <c:v>0.0</c:v>
                </c:pt>
                <c:pt idx="3">
                  <c:v>0.0</c:v>
                </c:pt>
                <c:pt idx="4">
                  <c:v>0.0</c:v>
                </c:pt>
              </c:numCache>
            </c:numRef>
          </c:val>
        </c:ser>
        <c:ser>
          <c:idx val="6"/>
          <c:order val="6"/>
          <c:tx>
            <c:strRef>
              <c:f>'Response Totals'!$K$63</c:f>
              <c:strCache>
                <c:ptCount val="1"/>
                <c:pt idx="0">
                  <c:v>55-64</c:v>
                </c:pt>
              </c:strCache>
            </c:strRef>
          </c:tx>
          <c:invertIfNegative val="0"/>
          <c:cat>
            <c:strRef>
              <c:f>'Response Totals'!$A$64:$A$68</c:f>
              <c:strCache>
                <c:ptCount val="5"/>
                <c:pt idx="0">
                  <c:v>0</c:v>
                </c:pt>
                <c:pt idx="1">
                  <c:v>1-3</c:v>
                </c:pt>
                <c:pt idx="2">
                  <c:v>4-6</c:v>
                </c:pt>
                <c:pt idx="3">
                  <c:v>7-10</c:v>
                </c:pt>
                <c:pt idx="4">
                  <c:v>10 or more</c:v>
                </c:pt>
              </c:strCache>
            </c:strRef>
          </c:cat>
          <c:val>
            <c:numRef>
              <c:f>'Response Totals'!$K$64:$K$68</c:f>
              <c:numCache>
                <c:formatCode>General</c:formatCode>
                <c:ptCount val="5"/>
                <c:pt idx="0">
                  <c:v>0.0</c:v>
                </c:pt>
                <c:pt idx="1">
                  <c:v>0.0</c:v>
                </c:pt>
                <c:pt idx="2">
                  <c:v>0.0</c:v>
                </c:pt>
                <c:pt idx="3">
                  <c:v>0.0</c:v>
                </c:pt>
                <c:pt idx="4">
                  <c:v>0.0</c:v>
                </c:pt>
              </c:numCache>
            </c:numRef>
          </c:val>
        </c:ser>
        <c:ser>
          <c:idx val="7"/>
          <c:order val="7"/>
          <c:tx>
            <c:strRef>
              <c:f>'Response Totals'!$L$63</c:f>
              <c:strCache>
                <c:ptCount val="1"/>
                <c:pt idx="0">
                  <c:v>65-74</c:v>
                </c:pt>
              </c:strCache>
            </c:strRef>
          </c:tx>
          <c:invertIfNegative val="0"/>
          <c:cat>
            <c:strRef>
              <c:f>'Response Totals'!$A$64:$A$68</c:f>
              <c:strCache>
                <c:ptCount val="5"/>
                <c:pt idx="0">
                  <c:v>0</c:v>
                </c:pt>
                <c:pt idx="1">
                  <c:v>1-3</c:v>
                </c:pt>
                <c:pt idx="2">
                  <c:v>4-6</c:v>
                </c:pt>
                <c:pt idx="3">
                  <c:v>7-10</c:v>
                </c:pt>
                <c:pt idx="4">
                  <c:v>10 or more</c:v>
                </c:pt>
              </c:strCache>
            </c:strRef>
          </c:cat>
          <c:val>
            <c:numRef>
              <c:f>'Response Totals'!$L$64:$L$68</c:f>
              <c:numCache>
                <c:formatCode>General</c:formatCode>
                <c:ptCount val="5"/>
                <c:pt idx="0">
                  <c:v>0.0</c:v>
                </c:pt>
                <c:pt idx="1">
                  <c:v>0.0</c:v>
                </c:pt>
                <c:pt idx="2">
                  <c:v>0.0</c:v>
                </c:pt>
                <c:pt idx="3">
                  <c:v>0.0</c:v>
                </c:pt>
                <c:pt idx="4">
                  <c:v>0.0</c:v>
                </c:pt>
              </c:numCache>
            </c:numRef>
          </c:val>
        </c:ser>
        <c:ser>
          <c:idx val="8"/>
          <c:order val="8"/>
          <c:tx>
            <c:strRef>
              <c:f>'Response Totals'!$M$63</c:f>
              <c:strCache>
                <c:ptCount val="1"/>
                <c:pt idx="0">
                  <c:v>75-84</c:v>
                </c:pt>
              </c:strCache>
            </c:strRef>
          </c:tx>
          <c:invertIfNegative val="0"/>
          <c:cat>
            <c:strRef>
              <c:f>'Response Totals'!$A$64:$A$68</c:f>
              <c:strCache>
                <c:ptCount val="5"/>
                <c:pt idx="0">
                  <c:v>0</c:v>
                </c:pt>
                <c:pt idx="1">
                  <c:v>1-3</c:v>
                </c:pt>
                <c:pt idx="2">
                  <c:v>4-6</c:v>
                </c:pt>
                <c:pt idx="3">
                  <c:v>7-10</c:v>
                </c:pt>
                <c:pt idx="4">
                  <c:v>10 or more</c:v>
                </c:pt>
              </c:strCache>
            </c:strRef>
          </c:cat>
          <c:val>
            <c:numRef>
              <c:f>'Response Totals'!$M$64:$M$68</c:f>
              <c:numCache>
                <c:formatCode>General</c:formatCode>
                <c:ptCount val="5"/>
                <c:pt idx="0">
                  <c:v>0.0</c:v>
                </c:pt>
                <c:pt idx="1">
                  <c:v>0.0</c:v>
                </c:pt>
                <c:pt idx="2">
                  <c:v>0.0</c:v>
                </c:pt>
                <c:pt idx="3">
                  <c:v>0.0</c:v>
                </c:pt>
                <c:pt idx="4">
                  <c:v>0.0</c:v>
                </c:pt>
              </c:numCache>
            </c:numRef>
          </c:val>
        </c:ser>
        <c:ser>
          <c:idx val="9"/>
          <c:order val="9"/>
          <c:tx>
            <c:strRef>
              <c:f>'Response Totals'!$N$63</c:f>
              <c:strCache>
                <c:ptCount val="1"/>
                <c:pt idx="0">
                  <c:v>85+</c:v>
                </c:pt>
              </c:strCache>
            </c:strRef>
          </c:tx>
          <c:invertIfNegative val="0"/>
          <c:cat>
            <c:strRef>
              <c:f>'Response Totals'!$A$64:$A$68</c:f>
              <c:strCache>
                <c:ptCount val="5"/>
                <c:pt idx="0">
                  <c:v>0</c:v>
                </c:pt>
                <c:pt idx="1">
                  <c:v>1-3</c:v>
                </c:pt>
                <c:pt idx="2">
                  <c:v>4-6</c:v>
                </c:pt>
                <c:pt idx="3">
                  <c:v>7-10</c:v>
                </c:pt>
                <c:pt idx="4">
                  <c:v>10 or more</c:v>
                </c:pt>
              </c:strCache>
            </c:strRef>
          </c:cat>
          <c:val>
            <c:numRef>
              <c:f>'Response Totals'!$N$64:$N$68</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109585224"/>
        <c:axId val="-2079876872"/>
      </c:barChart>
      <c:catAx>
        <c:axId val="2109585224"/>
        <c:scaling>
          <c:orientation val="minMax"/>
        </c:scaling>
        <c:delete val="0"/>
        <c:axPos val="b"/>
        <c:majorTickMark val="out"/>
        <c:minorTickMark val="none"/>
        <c:tickLblPos val="nextTo"/>
        <c:crossAx val="-2079876872"/>
        <c:crosses val="autoZero"/>
        <c:auto val="1"/>
        <c:lblAlgn val="ctr"/>
        <c:lblOffset val="100"/>
        <c:noMultiLvlLbl val="0"/>
      </c:catAx>
      <c:valAx>
        <c:axId val="-2079876872"/>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109585224"/>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1.7 Frequency of interaction with fluent speakers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Totals'!$E$71</c:f>
              <c:strCache>
                <c:ptCount val="1"/>
                <c:pt idx="0">
                  <c:v>0-4</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Totals'!$E$72:$E$76</c:f>
              <c:numCache>
                <c:formatCode>General</c:formatCode>
                <c:ptCount val="5"/>
                <c:pt idx="0">
                  <c:v>0.0</c:v>
                </c:pt>
                <c:pt idx="1">
                  <c:v>0.0</c:v>
                </c:pt>
                <c:pt idx="2">
                  <c:v>0.0</c:v>
                </c:pt>
                <c:pt idx="3">
                  <c:v>0.0</c:v>
                </c:pt>
                <c:pt idx="4">
                  <c:v>0.0</c:v>
                </c:pt>
              </c:numCache>
            </c:numRef>
          </c:val>
        </c:ser>
        <c:ser>
          <c:idx val="1"/>
          <c:order val="1"/>
          <c:tx>
            <c:strRef>
              <c:f>'Response Totals'!$F$71</c:f>
              <c:strCache>
                <c:ptCount val="1"/>
                <c:pt idx="0">
                  <c:v>5-14</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Totals'!$F$72:$F$76</c:f>
              <c:numCache>
                <c:formatCode>General</c:formatCode>
                <c:ptCount val="5"/>
                <c:pt idx="0">
                  <c:v>0.0</c:v>
                </c:pt>
                <c:pt idx="1">
                  <c:v>0.0</c:v>
                </c:pt>
                <c:pt idx="2">
                  <c:v>0.0</c:v>
                </c:pt>
                <c:pt idx="3">
                  <c:v>0.0</c:v>
                </c:pt>
                <c:pt idx="4">
                  <c:v>0.0</c:v>
                </c:pt>
              </c:numCache>
            </c:numRef>
          </c:val>
        </c:ser>
        <c:ser>
          <c:idx val="2"/>
          <c:order val="2"/>
          <c:tx>
            <c:strRef>
              <c:f>'Response Totals'!$G$71</c:f>
              <c:strCache>
                <c:ptCount val="1"/>
                <c:pt idx="0">
                  <c:v>15-19</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Totals'!$G$72:$G$76</c:f>
              <c:numCache>
                <c:formatCode>General</c:formatCode>
                <c:ptCount val="5"/>
                <c:pt idx="0">
                  <c:v>0.0</c:v>
                </c:pt>
                <c:pt idx="1">
                  <c:v>0.0</c:v>
                </c:pt>
                <c:pt idx="2">
                  <c:v>0.0</c:v>
                </c:pt>
                <c:pt idx="3">
                  <c:v>0.0</c:v>
                </c:pt>
                <c:pt idx="4">
                  <c:v>0.0</c:v>
                </c:pt>
              </c:numCache>
            </c:numRef>
          </c:val>
        </c:ser>
        <c:ser>
          <c:idx val="3"/>
          <c:order val="3"/>
          <c:tx>
            <c:strRef>
              <c:f>'Response Totals'!$H$71</c:f>
              <c:strCache>
                <c:ptCount val="1"/>
                <c:pt idx="0">
                  <c:v>20-24</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Totals'!$H$72:$H$76</c:f>
              <c:numCache>
                <c:formatCode>General</c:formatCode>
                <c:ptCount val="5"/>
                <c:pt idx="0">
                  <c:v>0.0</c:v>
                </c:pt>
                <c:pt idx="1">
                  <c:v>0.0</c:v>
                </c:pt>
                <c:pt idx="2">
                  <c:v>0.0</c:v>
                </c:pt>
                <c:pt idx="3">
                  <c:v>0.0</c:v>
                </c:pt>
                <c:pt idx="4">
                  <c:v>0.0</c:v>
                </c:pt>
              </c:numCache>
            </c:numRef>
          </c:val>
        </c:ser>
        <c:ser>
          <c:idx val="4"/>
          <c:order val="4"/>
          <c:tx>
            <c:strRef>
              <c:f>'Response Totals'!$I$71</c:f>
              <c:strCache>
                <c:ptCount val="1"/>
                <c:pt idx="0">
                  <c:v>25-44</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Totals'!$I$72:$I$76</c:f>
              <c:numCache>
                <c:formatCode>General</c:formatCode>
                <c:ptCount val="5"/>
                <c:pt idx="0">
                  <c:v>0.0</c:v>
                </c:pt>
                <c:pt idx="1">
                  <c:v>0.0</c:v>
                </c:pt>
                <c:pt idx="2">
                  <c:v>0.0</c:v>
                </c:pt>
                <c:pt idx="3">
                  <c:v>0.0</c:v>
                </c:pt>
                <c:pt idx="4">
                  <c:v>0.0</c:v>
                </c:pt>
              </c:numCache>
            </c:numRef>
          </c:val>
        </c:ser>
        <c:ser>
          <c:idx val="5"/>
          <c:order val="5"/>
          <c:tx>
            <c:strRef>
              <c:f>'Response Totals'!$J$71</c:f>
              <c:strCache>
                <c:ptCount val="1"/>
                <c:pt idx="0">
                  <c:v>45-54</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Totals'!$J$72:$J$76</c:f>
              <c:numCache>
                <c:formatCode>General</c:formatCode>
                <c:ptCount val="5"/>
                <c:pt idx="0">
                  <c:v>0.0</c:v>
                </c:pt>
                <c:pt idx="1">
                  <c:v>0.0</c:v>
                </c:pt>
                <c:pt idx="2">
                  <c:v>0.0</c:v>
                </c:pt>
                <c:pt idx="3">
                  <c:v>0.0</c:v>
                </c:pt>
                <c:pt idx="4">
                  <c:v>0.0</c:v>
                </c:pt>
              </c:numCache>
            </c:numRef>
          </c:val>
        </c:ser>
        <c:ser>
          <c:idx val="6"/>
          <c:order val="6"/>
          <c:tx>
            <c:strRef>
              <c:f>'Response Totals'!$K$71</c:f>
              <c:strCache>
                <c:ptCount val="1"/>
                <c:pt idx="0">
                  <c:v>55-64</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Totals'!$K$72:$K$76</c:f>
              <c:numCache>
                <c:formatCode>General</c:formatCode>
                <c:ptCount val="5"/>
                <c:pt idx="0">
                  <c:v>0.0</c:v>
                </c:pt>
                <c:pt idx="1">
                  <c:v>0.0</c:v>
                </c:pt>
                <c:pt idx="2">
                  <c:v>0.0</c:v>
                </c:pt>
                <c:pt idx="3">
                  <c:v>0.0</c:v>
                </c:pt>
                <c:pt idx="4">
                  <c:v>0.0</c:v>
                </c:pt>
              </c:numCache>
            </c:numRef>
          </c:val>
        </c:ser>
        <c:ser>
          <c:idx val="7"/>
          <c:order val="7"/>
          <c:tx>
            <c:strRef>
              <c:f>'Response Totals'!$L$71</c:f>
              <c:strCache>
                <c:ptCount val="1"/>
                <c:pt idx="0">
                  <c:v>65-74</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Totals'!$L$72:$L$76</c:f>
              <c:numCache>
                <c:formatCode>General</c:formatCode>
                <c:ptCount val="5"/>
                <c:pt idx="0">
                  <c:v>0.0</c:v>
                </c:pt>
                <c:pt idx="1">
                  <c:v>0.0</c:v>
                </c:pt>
                <c:pt idx="2">
                  <c:v>0.0</c:v>
                </c:pt>
                <c:pt idx="3">
                  <c:v>0.0</c:v>
                </c:pt>
                <c:pt idx="4">
                  <c:v>0.0</c:v>
                </c:pt>
              </c:numCache>
            </c:numRef>
          </c:val>
        </c:ser>
        <c:ser>
          <c:idx val="8"/>
          <c:order val="8"/>
          <c:tx>
            <c:strRef>
              <c:f>'Response Totals'!$M$71</c:f>
              <c:strCache>
                <c:ptCount val="1"/>
                <c:pt idx="0">
                  <c:v>75-84</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Totals'!$M$72:$M$76</c:f>
              <c:numCache>
                <c:formatCode>General</c:formatCode>
                <c:ptCount val="5"/>
                <c:pt idx="0">
                  <c:v>0.0</c:v>
                </c:pt>
                <c:pt idx="1">
                  <c:v>0.0</c:v>
                </c:pt>
                <c:pt idx="2">
                  <c:v>0.0</c:v>
                </c:pt>
                <c:pt idx="3">
                  <c:v>0.0</c:v>
                </c:pt>
                <c:pt idx="4">
                  <c:v>0.0</c:v>
                </c:pt>
              </c:numCache>
            </c:numRef>
          </c:val>
        </c:ser>
        <c:ser>
          <c:idx val="9"/>
          <c:order val="9"/>
          <c:tx>
            <c:strRef>
              <c:f>'Response Totals'!$N$71</c:f>
              <c:strCache>
                <c:ptCount val="1"/>
                <c:pt idx="0">
                  <c:v>85+</c:v>
                </c:pt>
              </c:strCache>
            </c:strRef>
          </c:tx>
          <c:invertIfNegative val="0"/>
          <c:cat>
            <c:strRef>
              <c:f>'Response Totals'!$A$72:$A$76</c:f>
              <c:strCache>
                <c:ptCount val="5"/>
                <c:pt idx="0">
                  <c:v>Daily</c:v>
                </c:pt>
                <c:pt idx="1">
                  <c:v>Weekly</c:v>
                </c:pt>
                <c:pt idx="2">
                  <c:v>Monthly</c:v>
                </c:pt>
                <c:pt idx="3">
                  <c:v>Sometimes</c:v>
                </c:pt>
                <c:pt idx="4">
                  <c:v>Never</c:v>
                </c:pt>
              </c:strCache>
            </c:strRef>
          </c:cat>
          <c:val>
            <c:numRef>
              <c:f>'Response Totals'!$N$72:$N$76</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86409832"/>
        <c:axId val="-2086407176"/>
      </c:barChart>
      <c:catAx>
        <c:axId val="-2086409832"/>
        <c:scaling>
          <c:orientation val="minMax"/>
        </c:scaling>
        <c:delete val="0"/>
        <c:axPos val="b"/>
        <c:majorTickMark val="out"/>
        <c:minorTickMark val="none"/>
        <c:tickLblPos val="nextTo"/>
        <c:crossAx val="-2086407176"/>
        <c:crosses val="autoZero"/>
        <c:auto val="1"/>
        <c:lblAlgn val="ctr"/>
        <c:lblOffset val="100"/>
        <c:noMultiLvlLbl val="0"/>
      </c:catAx>
      <c:valAx>
        <c:axId val="-2086407176"/>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6409832"/>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1.9 Frequency of use of language at home</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Totals'!$E$82</c:f>
              <c:strCache>
                <c:ptCount val="1"/>
                <c:pt idx="0">
                  <c:v>0-4</c:v>
                </c:pt>
              </c:strCache>
            </c:strRef>
          </c:tx>
          <c:invertIfNegative val="0"/>
          <c:cat>
            <c:strRef>
              <c:f>'Response Totals'!$A$83:$A$86</c:f>
              <c:strCache>
                <c:ptCount val="4"/>
                <c:pt idx="0">
                  <c:v>Always</c:v>
                </c:pt>
                <c:pt idx="1">
                  <c:v>Sometimes</c:v>
                </c:pt>
                <c:pt idx="2">
                  <c:v>Very little</c:v>
                </c:pt>
                <c:pt idx="3">
                  <c:v>Never</c:v>
                </c:pt>
              </c:strCache>
            </c:strRef>
          </c:cat>
          <c:val>
            <c:numRef>
              <c:f>'Response Totals'!$E$83:$E$86</c:f>
              <c:numCache>
                <c:formatCode>General</c:formatCode>
                <c:ptCount val="4"/>
                <c:pt idx="0">
                  <c:v>0.0</c:v>
                </c:pt>
                <c:pt idx="1">
                  <c:v>0.0</c:v>
                </c:pt>
                <c:pt idx="2">
                  <c:v>0.0</c:v>
                </c:pt>
                <c:pt idx="3">
                  <c:v>0.0</c:v>
                </c:pt>
              </c:numCache>
            </c:numRef>
          </c:val>
        </c:ser>
        <c:ser>
          <c:idx val="1"/>
          <c:order val="1"/>
          <c:tx>
            <c:strRef>
              <c:f>'Response Totals'!$F$82</c:f>
              <c:strCache>
                <c:ptCount val="1"/>
                <c:pt idx="0">
                  <c:v>5-14</c:v>
                </c:pt>
              </c:strCache>
            </c:strRef>
          </c:tx>
          <c:invertIfNegative val="0"/>
          <c:cat>
            <c:strRef>
              <c:f>'Response Totals'!$A$83:$A$86</c:f>
              <c:strCache>
                <c:ptCount val="4"/>
                <c:pt idx="0">
                  <c:v>Always</c:v>
                </c:pt>
                <c:pt idx="1">
                  <c:v>Sometimes</c:v>
                </c:pt>
                <c:pt idx="2">
                  <c:v>Very little</c:v>
                </c:pt>
                <c:pt idx="3">
                  <c:v>Never</c:v>
                </c:pt>
              </c:strCache>
            </c:strRef>
          </c:cat>
          <c:val>
            <c:numRef>
              <c:f>'Response Totals'!$F$83:$F$86</c:f>
              <c:numCache>
                <c:formatCode>General</c:formatCode>
                <c:ptCount val="4"/>
                <c:pt idx="0">
                  <c:v>0.0</c:v>
                </c:pt>
                <c:pt idx="1">
                  <c:v>0.0</c:v>
                </c:pt>
                <c:pt idx="2">
                  <c:v>0.0</c:v>
                </c:pt>
                <c:pt idx="3">
                  <c:v>0.0</c:v>
                </c:pt>
              </c:numCache>
            </c:numRef>
          </c:val>
        </c:ser>
        <c:ser>
          <c:idx val="2"/>
          <c:order val="2"/>
          <c:tx>
            <c:strRef>
              <c:f>'Response Totals'!$G$82</c:f>
              <c:strCache>
                <c:ptCount val="1"/>
                <c:pt idx="0">
                  <c:v>15-19</c:v>
                </c:pt>
              </c:strCache>
            </c:strRef>
          </c:tx>
          <c:invertIfNegative val="0"/>
          <c:cat>
            <c:strRef>
              <c:f>'Response Totals'!$A$83:$A$86</c:f>
              <c:strCache>
                <c:ptCount val="4"/>
                <c:pt idx="0">
                  <c:v>Always</c:v>
                </c:pt>
                <c:pt idx="1">
                  <c:v>Sometimes</c:v>
                </c:pt>
                <c:pt idx="2">
                  <c:v>Very little</c:v>
                </c:pt>
                <c:pt idx="3">
                  <c:v>Never</c:v>
                </c:pt>
              </c:strCache>
            </c:strRef>
          </c:cat>
          <c:val>
            <c:numRef>
              <c:f>'Response Totals'!$G$83:$G$86</c:f>
              <c:numCache>
                <c:formatCode>General</c:formatCode>
                <c:ptCount val="4"/>
                <c:pt idx="0">
                  <c:v>0.0</c:v>
                </c:pt>
                <c:pt idx="1">
                  <c:v>0.0</c:v>
                </c:pt>
                <c:pt idx="2">
                  <c:v>0.0</c:v>
                </c:pt>
                <c:pt idx="3">
                  <c:v>0.0</c:v>
                </c:pt>
              </c:numCache>
            </c:numRef>
          </c:val>
        </c:ser>
        <c:ser>
          <c:idx val="3"/>
          <c:order val="3"/>
          <c:tx>
            <c:strRef>
              <c:f>'Response Totals'!$H$82</c:f>
              <c:strCache>
                <c:ptCount val="1"/>
                <c:pt idx="0">
                  <c:v>20-24</c:v>
                </c:pt>
              </c:strCache>
            </c:strRef>
          </c:tx>
          <c:invertIfNegative val="0"/>
          <c:cat>
            <c:strRef>
              <c:f>'Response Totals'!$A$83:$A$86</c:f>
              <c:strCache>
                <c:ptCount val="4"/>
                <c:pt idx="0">
                  <c:v>Always</c:v>
                </c:pt>
                <c:pt idx="1">
                  <c:v>Sometimes</c:v>
                </c:pt>
                <c:pt idx="2">
                  <c:v>Very little</c:v>
                </c:pt>
                <c:pt idx="3">
                  <c:v>Never</c:v>
                </c:pt>
              </c:strCache>
            </c:strRef>
          </c:cat>
          <c:val>
            <c:numRef>
              <c:f>'Response Totals'!$H$83:$H$86</c:f>
              <c:numCache>
                <c:formatCode>General</c:formatCode>
                <c:ptCount val="4"/>
                <c:pt idx="0">
                  <c:v>0.0</c:v>
                </c:pt>
                <c:pt idx="1">
                  <c:v>0.0</c:v>
                </c:pt>
                <c:pt idx="2">
                  <c:v>0.0</c:v>
                </c:pt>
                <c:pt idx="3">
                  <c:v>0.0</c:v>
                </c:pt>
              </c:numCache>
            </c:numRef>
          </c:val>
        </c:ser>
        <c:ser>
          <c:idx val="4"/>
          <c:order val="4"/>
          <c:tx>
            <c:strRef>
              <c:f>'Response Totals'!$I$82</c:f>
              <c:strCache>
                <c:ptCount val="1"/>
                <c:pt idx="0">
                  <c:v>25-44</c:v>
                </c:pt>
              </c:strCache>
            </c:strRef>
          </c:tx>
          <c:invertIfNegative val="0"/>
          <c:cat>
            <c:strRef>
              <c:f>'Response Totals'!$A$83:$A$86</c:f>
              <c:strCache>
                <c:ptCount val="4"/>
                <c:pt idx="0">
                  <c:v>Always</c:v>
                </c:pt>
                <c:pt idx="1">
                  <c:v>Sometimes</c:v>
                </c:pt>
                <c:pt idx="2">
                  <c:v>Very little</c:v>
                </c:pt>
                <c:pt idx="3">
                  <c:v>Never</c:v>
                </c:pt>
              </c:strCache>
            </c:strRef>
          </c:cat>
          <c:val>
            <c:numRef>
              <c:f>'Response Totals'!$I$83:$I$86</c:f>
              <c:numCache>
                <c:formatCode>General</c:formatCode>
                <c:ptCount val="4"/>
                <c:pt idx="0">
                  <c:v>0.0</c:v>
                </c:pt>
                <c:pt idx="1">
                  <c:v>0.0</c:v>
                </c:pt>
                <c:pt idx="2">
                  <c:v>0.0</c:v>
                </c:pt>
                <c:pt idx="3">
                  <c:v>0.0</c:v>
                </c:pt>
              </c:numCache>
            </c:numRef>
          </c:val>
        </c:ser>
        <c:ser>
          <c:idx val="5"/>
          <c:order val="5"/>
          <c:tx>
            <c:strRef>
              <c:f>'Response Totals'!$J$82</c:f>
              <c:strCache>
                <c:ptCount val="1"/>
                <c:pt idx="0">
                  <c:v>45-54</c:v>
                </c:pt>
              </c:strCache>
            </c:strRef>
          </c:tx>
          <c:invertIfNegative val="0"/>
          <c:cat>
            <c:strRef>
              <c:f>'Response Totals'!$A$83:$A$86</c:f>
              <c:strCache>
                <c:ptCount val="4"/>
                <c:pt idx="0">
                  <c:v>Always</c:v>
                </c:pt>
                <c:pt idx="1">
                  <c:v>Sometimes</c:v>
                </c:pt>
                <c:pt idx="2">
                  <c:v>Very little</c:v>
                </c:pt>
                <c:pt idx="3">
                  <c:v>Never</c:v>
                </c:pt>
              </c:strCache>
            </c:strRef>
          </c:cat>
          <c:val>
            <c:numRef>
              <c:f>'Response Totals'!$J$83:$J$86</c:f>
              <c:numCache>
                <c:formatCode>General</c:formatCode>
                <c:ptCount val="4"/>
                <c:pt idx="0">
                  <c:v>0.0</c:v>
                </c:pt>
                <c:pt idx="1">
                  <c:v>0.0</c:v>
                </c:pt>
                <c:pt idx="2">
                  <c:v>0.0</c:v>
                </c:pt>
                <c:pt idx="3">
                  <c:v>0.0</c:v>
                </c:pt>
              </c:numCache>
            </c:numRef>
          </c:val>
        </c:ser>
        <c:ser>
          <c:idx val="6"/>
          <c:order val="6"/>
          <c:tx>
            <c:strRef>
              <c:f>'Response Totals'!$K$82</c:f>
              <c:strCache>
                <c:ptCount val="1"/>
                <c:pt idx="0">
                  <c:v>55-64</c:v>
                </c:pt>
              </c:strCache>
            </c:strRef>
          </c:tx>
          <c:invertIfNegative val="0"/>
          <c:cat>
            <c:strRef>
              <c:f>'Response Totals'!$A$83:$A$86</c:f>
              <c:strCache>
                <c:ptCount val="4"/>
                <c:pt idx="0">
                  <c:v>Always</c:v>
                </c:pt>
                <c:pt idx="1">
                  <c:v>Sometimes</c:v>
                </c:pt>
                <c:pt idx="2">
                  <c:v>Very little</c:v>
                </c:pt>
                <c:pt idx="3">
                  <c:v>Never</c:v>
                </c:pt>
              </c:strCache>
            </c:strRef>
          </c:cat>
          <c:val>
            <c:numRef>
              <c:f>'Response Totals'!$K$83:$K$86</c:f>
              <c:numCache>
                <c:formatCode>General</c:formatCode>
                <c:ptCount val="4"/>
                <c:pt idx="0">
                  <c:v>0.0</c:v>
                </c:pt>
                <c:pt idx="1">
                  <c:v>0.0</c:v>
                </c:pt>
                <c:pt idx="2">
                  <c:v>0.0</c:v>
                </c:pt>
                <c:pt idx="3">
                  <c:v>0.0</c:v>
                </c:pt>
              </c:numCache>
            </c:numRef>
          </c:val>
        </c:ser>
        <c:ser>
          <c:idx val="7"/>
          <c:order val="7"/>
          <c:tx>
            <c:strRef>
              <c:f>'Response Totals'!$L$82</c:f>
              <c:strCache>
                <c:ptCount val="1"/>
                <c:pt idx="0">
                  <c:v>65-74</c:v>
                </c:pt>
              </c:strCache>
            </c:strRef>
          </c:tx>
          <c:invertIfNegative val="0"/>
          <c:cat>
            <c:strRef>
              <c:f>'Response Totals'!$A$83:$A$86</c:f>
              <c:strCache>
                <c:ptCount val="4"/>
                <c:pt idx="0">
                  <c:v>Always</c:v>
                </c:pt>
                <c:pt idx="1">
                  <c:v>Sometimes</c:v>
                </c:pt>
                <c:pt idx="2">
                  <c:v>Very little</c:v>
                </c:pt>
                <c:pt idx="3">
                  <c:v>Never</c:v>
                </c:pt>
              </c:strCache>
            </c:strRef>
          </c:cat>
          <c:val>
            <c:numRef>
              <c:f>'Response Totals'!$L$83:$L$86</c:f>
              <c:numCache>
                <c:formatCode>General</c:formatCode>
                <c:ptCount val="4"/>
                <c:pt idx="0">
                  <c:v>0.0</c:v>
                </c:pt>
                <c:pt idx="1">
                  <c:v>0.0</c:v>
                </c:pt>
                <c:pt idx="2">
                  <c:v>0.0</c:v>
                </c:pt>
                <c:pt idx="3">
                  <c:v>0.0</c:v>
                </c:pt>
              </c:numCache>
            </c:numRef>
          </c:val>
        </c:ser>
        <c:ser>
          <c:idx val="8"/>
          <c:order val="8"/>
          <c:tx>
            <c:strRef>
              <c:f>'Response Totals'!$M$82</c:f>
              <c:strCache>
                <c:ptCount val="1"/>
                <c:pt idx="0">
                  <c:v>75-84</c:v>
                </c:pt>
              </c:strCache>
            </c:strRef>
          </c:tx>
          <c:invertIfNegative val="0"/>
          <c:cat>
            <c:strRef>
              <c:f>'Response Totals'!$A$83:$A$86</c:f>
              <c:strCache>
                <c:ptCount val="4"/>
                <c:pt idx="0">
                  <c:v>Always</c:v>
                </c:pt>
                <c:pt idx="1">
                  <c:v>Sometimes</c:v>
                </c:pt>
                <c:pt idx="2">
                  <c:v>Very little</c:v>
                </c:pt>
                <c:pt idx="3">
                  <c:v>Never</c:v>
                </c:pt>
              </c:strCache>
            </c:strRef>
          </c:cat>
          <c:val>
            <c:numRef>
              <c:f>'Response Totals'!$M$83:$M$86</c:f>
              <c:numCache>
                <c:formatCode>General</c:formatCode>
                <c:ptCount val="4"/>
                <c:pt idx="0">
                  <c:v>0.0</c:v>
                </c:pt>
                <c:pt idx="1">
                  <c:v>0.0</c:v>
                </c:pt>
                <c:pt idx="2">
                  <c:v>0.0</c:v>
                </c:pt>
                <c:pt idx="3">
                  <c:v>0.0</c:v>
                </c:pt>
              </c:numCache>
            </c:numRef>
          </c:val>
        </c:ser>
        <c:ser>
          <c:idx val="9"/>
          <c:order val="9"/>
          <c:tx>
            <c:strRef>
              <c:f>'Response Totals'!$N$82</c:f>
              <c:strCache>
                <c:ptCount val="1"/>
                <c:pt idx="0">
                  <c:v>85+</c:v>
                </c:pt>
              </c:strCache>
            </c:strRef>
          </c:tx>
          <c:invertIfNegative val="0"/>
          <c:cat>
            <c:strRef>
              <c:f>'Response Totals'!$A$83:$A$86</c:f>
              <c:strCache>
                <c:ptCount val="4"/>
                <c:pt idx="0">
                  <c:v>Always</c:v>
                </c:pt>
                <c:pt idx="1">
                  <c:v>Sometimes</c:v>
                </c:pt>
                <c:pt idx="2">
                  <c:v>Very little</c:v>
                </c:pt>
                <c:pt idx="3">
                  <c:v>Never</c:v>
                </c:pt>
              </c:strCache>
            </c:strRef>
          </c:cat>
          <c:val>
            <c:numRef>
              <c:f>'Response Totals'!$N$83:$N$86</c:f>
              <c:numCache>
                <c:formatCode>General</c:formatCode>
                <c:ptCount val="4"/>
                <c:pt idx="0">
                  <c:v>0.0</c:v>
                </c:pt>
                <c:pt idx="1">
                  <c:v>0.0</c:v>
                </c:pt>
                <c:pt idx="2">
                  <c:v>0.0</c:v>
                </c:pt>
                <c:pt idx="3">
                  <c:v>0.0</c:v>
                </c:pt>
              </c:numCache>
            </c:numRef>
          </c:val>
        </c:ser>
        <c:dLbls>
          <c:showLegendKey val="0"/>
          <c:showVal val="0"/>
          <c:showCatName val="0"/>
          <c:showSerName val="0"/>
          <c:showPercent val="0"/>
          <c:showBubbleSize val="0"/>
        </c:dLbls>
        <c:gapWidth val="150"/>
        <c:axId val="-2075293416"/>
        <c:axId val="-2075302888"/>
      </c:barChart>
      <c:catAx>
        <c:axId val="-2075293416"/>
        <c:scaling>
          <c:orientation val="minMax"/>
        </c:scaling>
        <c:delete val="0"/>
        <c:axPos val="b"/>
        <c:majorTickMark val="out"/>
        <c:minorTickMark val="none"/>
        <c:tickLblPos val="nextTo"/>
        <c:crossAx val="-2075302888"/>
        <c:crosses val="autoZero"/>
        <c:auto val="1"/>
        <c:lblAlgn val="ctr"/>
        <c:lblOffset val="100"/>
        <c:noMultiLvlLbl val="0"/>
      </c:catAx>
      <c:valAx>
        <c:axId val="-2075302888"/>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75293416"/>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barChart>
        <c:barDir val="col"/>
        <c:grouping val="clustered"/>
        <c:varyColors val="0"/>
        <c:ser>
          <c:idx val="0"/>
          <c:order val="0"/>
          <c:tx>
            <c:v>1.1 How well can you speak the language?</c:v>
          </c:tx>
          <c:invertIfNegative val="0"/>
          <c:dLbls>
            <c:showLegendKey val="0"/>
            <c:showVal val="1"/>
            <c:showCatName val="0"/>
            <c:showSerName val="0"/>
            <c:showPercent val="0"/>
            <c:showBubbleSize val="0"/>
            <c:showLeaderLines val="0"/>
          </c:dLbls>
          <c:cat>
            <c:strRef>
              <c:f>'Response Totals'!$A$22:$A$26</c:f>
              <c:strCache>
                <c:ptCount val="5"/>
                <c:pt idx="0">
                  <c:v>Fluently</c:v>
                </c:pt>
                <c:pt idx="1">
                  <c:v>Somewhat fluently</c:v>
                </c:pt>
                <c:pt idx="2">
                  <c:v>Not very well</c:v>
                </c:pt>
                <c:pt idx="3">
                  <c:v>Know some vocabulary</c:v>
                </c:pt>
                <c:pt idx="4">
                  <c:v>Not at all</c:v>
                </c:pt>
              </c:strCache>
            </c:strRef>
          </c:cat>
          <c:val>
            <c:numRef>
              <c:f>'Response Totals'!$B$22:$B$26</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76629992"/>
        <c:axId val="-2085637608"/>
      </c:barChart>
      <c:catAx>
        <c:axId val="-2076629992"/>
        <c:scaling>
          <c:orientation val="minMax"/>
        </c:scaling>
        <c:delete val="0"/>
        <c:axPos val="b"/>
        <c:majorTickMark val="out"/>
        <c:minorTickMark val="none"/>
        <c:tickLblPos val="nextTo"/>
        <c:crossAx val="-2085637608"/>
        <c:crosses val="autoZero"/>
        <c:auto val="1"/>
        <c:lblAlgn val="ctr"/>
        <c:lblOffset val="100"/>
        <c:noMultiLvlLbl val="0"/>
      </c:catAx>
      <c:valAx>
        <c:axId val="-2085637608"/>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76629992"/>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1.10 Who speaks the language</a:t>
            </a:r>
            <a:r>
              <a:rPr lang="en-US" baseline="0"/>
              <a:t> at home, as identified by participants?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Totals'!$E$89</c:f>
              <c:strCache>
                <c:ptCount val="1"/>
                <c:pt idx="0">
                  <c:v>0-4</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Totals'!$E$90:$E$96</c:f>
              <c:numCache>
                <c:formatCode>General</c:formatCode>
                <c:ptCount val="7"/>
                <c:pt idx="0">
                  <c:v>0.0</c:v>
                </c:pt>
                <c:pt idx="1">
                  <c:v>0.0</c:v>
                </c:pt>
                <c:pt idx="2">
                  <c:v>0.0</c:v>
                </c:pt>
                <c:pt idx="3">
                  <c:v>0.0</c:v>
                </c:pt>
                <c:pt idx="4">
                  <c:v>0.0</c:v>
                </c:pt>
                <c:pt idx="5">
                  <c:v>0.0</c:v>
                </c:pt>
                <c:pt idx="6">
                  <c:v>0.0</c:v>
                </c:pt>
              </c:numCache>
            </c:numRef>
          </c:val>
        </c:ser>
        <c:ser>
          <c:idx val="1"/>
          <c:order val="1"/>
          <c:tx>
            <c:strRef>
              <c:f>'Response Totals'!$F$89</c:f>
              <c:strCache>
                <c:ptCount val="1"/>
                <c:pt idx="0">
                  <c:v>5-14</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Totals'!$F$90:$F$96</c:f>
              <c:numCache>
                <c:formatCode>General</c:formatCode>
                <c:ptCount val="7"/>
                <c:pt idx="0">
                  <c:v>0.0</c:v>
                </c:pt>
                <c:pt idx="1">
                  <c:v>0.0</c:v>
                </c:pt>
                <c:pt idx="2">
                  <c:v>0.0</c:v>
                </c:pt>
                <c:pt idx="3">
                  <c:v>0.0</c:v>
                </c:pt>
                <c:pt idx="4">
                  <c:v>0.0</c:v>
                </c:pt>
                <c:pt idx="5">
                  <c:v>0.0</c:v>
                </c:pt>
                <c:pt idx="6">
                  <c:v>0.0</c:v>
                </c:pt>
              </c:numCache>
            </c:numRef>
          </c:val>
        </c:ser>
        <c:ser>
          <c:idx val="2"/>
          <c:order val="2"/>
          <c:tx>
            <c:strRef>
              <c:f>'Response Totals'!$G$89</c:f>
              <c:strCache>
                <c:ptCount val="1"/>
                <c:pt idx="0">
                  <c:v>15-19</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Totals'!$G$90:$G$96</c:f>
              <c:numCache>
                <c:formatCode>General</c:formatCode>
                <c:ptCount val="7"/>
                <c:pt idx="0">
                  <c:v>0.0</c:v>
                </c:pt>
                <c:pt idx="1">
                  <c:v>0.0</c:v>
                </c:pt>
                <c:pt idx="2">
                  <c:v>0.0</c:v>
                </c:pt>
                <c:pt idx="3">
                  <c:v>0.0</c:v>
                </c:pt>
                <c:pt idx="4">
                  <c:v>0.0</c:v>
                </c:pt>
                <c:pt idx="5">
                  <c:v>0.0</c:v>
                </c:pt>
                <c:pt idx="6">
                  <c:v>0.0</c:v>
                </c:pt>
              </c:numCache>
            </c:numRef>
          </c:val>
        </c:ser>
        <c:ser>
          <c:idx val="3"/>
          <c:order val="3"/>
          <c:tx>
            <c:strRef>
              <c:f>'Response Totals'!$H$89</c:f>
              <c:strCache>
                <c:ptCount val="1"/>
                <c:pt idx="0">
                  <c:v>20-24</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Totals'!$H$90:$H$96</c:f>
              <c:numCache>
                <c:formatCode>General</c:formatCode>
                <c:ptCount val="7"/>
                <c:pt idx="0">
                  <c:v>0.0</c:v>
                </c:pt>
                <c:pt idx="1">
                  <c:v>0.0</c:v>
                </c:pt>
                <c:pt idx="2">
                  <c:v>0.0</c:v>
                </c:pt>
                <c:pt idx="3">
                  <c:v>0.0</c:v>
                </c:pt>
                <c:pt idx="4">
                  <c:v>0.0</c:v>
                </c:pt>
                <c:pt idx="5">
                  <c:v>0.0</c:v>
                </c:pt>
                <c:pt idx="6">
                  <c:v>0.0</c:v>
                </c:pt>
              </c:numCache>
            </c:numRef>
          </c:val>
        </c:ser>
        <c:ser>
          <c:idx val="4"/>
          <c:order val="4"/>
          <c:tx>
            <c:strRef>
              <c:f>'Response Totals'!$I$89</c:f>
              <c:strCache>
                <c:ptCount val="1"/>
                <c:pt idx="0">
                  <c:v>25-44</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Totals'!$I$90:$I$96</c:f>
              <c:numCache>
                <c:formatCode>General</c:formatCode>
                <c:ptCount val="7"/>
                <c:pt idx="0">
                  <c:v>0.0</c:v>
                </c:pt>
                <c:pt idx="1">
                  <c:v>0.0</c:v>
                </c:pt>
                <c:pt idx="2">
                  <c:v>0.0</c:v>
                </c:pt>
                <c:pt idx="3">
                  <c:v>0.0</c:v>
                </c:pt>
                <c:pt idx="4">
                  <c:v>0.0</c:v>
                </c:pt>
                <c:pt idx="5">
                  <c:v>0.0</c:v>
                </c:pt>
                <c:pt idx="6">
                  <c:v>0.0</c:v>
                </c:pt>
              </c:numCache>
            </c:numRef>
          </c:val>
        </c:ser>
        <c:ser>
          <c:idx val="5"/>
          <c:order val="5"/>
          <c:tx>
            <c:strRef>
              <c:f>'Response Totals'!$J$89</c:f>
              <c:strCache>
                <c:ptCount val="1"/>
                <c:pt idx="0">
                  <c:v>45-54</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Totals'!$J$90:$J$96</c:f>
              <c:numCache>
                <c:formatCode>General</c:formatCode>
                <c:ptCount val="7"/>
                <c:pt idx="0">
                  <c:v>0.0</c:v>
                </c:pt>
                <c:pt idx="1">
                  <c:v>0.0</c:v>
                </c:pt>
                <c:pt idx="2">
                  <c:v>0.0</c:v>
                </c:pt>
                <c:pt idx="3">
                  <c:v>0.0</c:v>
                </c:pt>
                <c:pt idx="4">
                  <c:v>0.0</c:v>
                </c:pt>
                <c:pt idx="5">
                  <c:v>0.0</c:v>
                </c:pt>
                <c:pt idx="6">
                  <c:v>0.0</c:v>
                </c:pt>
              </c:numCache>
            </c:numRef>
          </c:val>
        </c:ser>
        <c:ser>
          <c:idx val="6"/>
          <c:order val="6"/>
          <c:tx>
            <c:strRef>
              <c:f>'Response Totals'!$K$89</c:f>
              <c:strCache>
                <c:ptCount val="1"/>
                <c:pt idx="0">
                  <c:v>55-64</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Totals'!$K$90:$K$96</c:f>
              <c:numCache>
                <c:formatCode>General</c:formatCode>
                <c:ptCount val="7"/>
                <c:pt idx="0">
                  <c:v>0.0</c:v>
                </c:pt>
                <c:pt idx="1">
                  <c:v>0.0</c:v>
                </c:pt>
                <c:pt idx="2">
                  <c:v>0.0</c:v>
                </c:pt>
                <c:pt idx="3">
                  <c:v>0.0</c:v>
                </c:pt>
                <c:pt idx="4">
                  <c:v>0.0</c:v>
                </c:pt>
                <c:pt idx="5">
                  <c:v>0.0</c:v>
                </c:pt>
                <c:pt idx="6">
                  <c:v>0.0</c:v>
                </c:pt>
              </c:numCache>
            </c:numRef>
          </c:val>
        </c:ser>
        <c:ser>
          <c:idx val="7"/>
          <c:order val="7"/>
          <c:tx>
            <c:strRef>
              <c:f>'Response Totals'!$L$89</c:f>
              <c:strCache>
                <c:ptCount val="1"/>
                <c:pt idx="0">
                  <c:v>65-74</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Totals'!$L$90:$L$96</c:f>
              <c:numCache>
                <c:formatCode>General</c:formatCode>
                <c:ptCount val="7"/>
                <c:pt idx="0">
                  <c:v>0.0</c:v>
                </c:pt>
                <c:pt idx="1">
                  <c:v>0.0</c:v>
                </c:pt>
                <c:pt idx="2">
                  <c:v>0.0</c:v>
                </c:pt>
                <c:pt idx="3">
                  <c:v>0.0</c:v>
                </c:pt>
                <c:pt idx="4">
                  <c:v>0.0</c:v>
                </c:pt>
                <c:pt idx="5">
                  <c:v>0.0</c:v>
                </c:pt>
                <c:pt idx="6">
                  <c:v>0.0</c:v>
                </c:pt>
              </c:numCache>
            </c:numRef>
          </c:val>
        </c:ser>
        <c:ser>
          <c:idx val="8"/>
          <c:order val="8"/>
          <c:tx>
            <c:strRef>
              <c:f>'Response Totals'!$M$89</c:f>
              <c:strCache>
                <c:ptCount val="1"/>
                <c:pt idx="0">
                  <c:v>75-84</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Totals'!$M$90:$M$96</c:f>
              <c:numCache>
                <c:formatCode>General</c:formatCode>
                <c:ptCount val="7"/>
                <c:pt idx="0">
                  <c:v>0.0</c:v>
                </c:pt>
                <c:pt idx="1">
                  <c:v>0.0</c:v>
                </c:pt>
                <c:pt idx="2">
                  <c:v>0.0</c:v>
                </c:pt>
                <c:pt idx="3">
                  <c:v>0.0</c:v>
                </c:pt>
                <c:pt idx="4">
                  <c:v>0.0</c:v>
                </c:pt>
                <c:pt idx="5">
                  <c:v>0.0</c:v>
                </c:pt>
                <c:pt idx="6">
                  <c:v>0.0</c:v>
                </c:pt>
              </c:numCache>
            </c:numRef>
          </c:val>
        </c:ser>
        <c:ser>
          <c:idx val="9"/>
          <c:order val="9"/>
          <c:tx>
            <c:strRef>
              <c:f>'Response Totals'!$N$89</c:f>
              <c:strCache>
                <c:ptCount val="1"/>
                <c:pt idx="0">
                  <c:v>85+</c:v>
                </c:pt>
              </c:strCache>
            </c:strRef>
          </c:tx>
          <c:invertIfNegative val="0"/>
          <c:cat>
            <c:strRef>
              <c:f>'Response Totals'!$A$90:$A$96</c:f>
              <c:strCache>
                <c:ptCount val="7"/>
                <c:pt idx="0">
                  <c:v>Grandmother</c:v>
                </c:pt>
                <c:pt idx="1">
                  <c:v>Grandfather</c:v>
                </c:pt>
                <c:pt idx="2">
                  <c:v>Mother</c:v>
                </c:pt>
                <c:pt idx="3">
                  <c:v>Father</c:v>
                </c:pt>
                <c:pt idx="4">
                  <c:v>Brothers, Sisters</c:v>
                </c:pt>
                <c:pt idx="5">
                  <c:v>None</c:v>
                </c:pt>
                <c:pt idx="6">
                  <c:v>Other</c:v>
                </c:pt>
              </c:strCache>
            </c:strRef>
          </c:cat>
          <c:val>
            <c:numRef>
              <c:f>'Response Totals'!$N$90:$N$96</c:f>
              <c:numCache>
                <c:formatCode>General</c:formatCode>
                <c:ptCount val="7"/>
                <c:pt idx="0">
                  <c:v>0.0</c:v>
                </c:pt>
                <c:pt idx="1">
                  <c:v>0.0</c:v>
                </c:pt>
                <c:pt idx="2">
                  <c:v>0.0</c:v>
                </c:pt>
                <c:pt idx="3">
                  <c:v>0.0</c:v>
                </c:pt>
                <c:pt idx="4">
                  <c:v>0.0</c:v>
                </c:pt>
                <c:pt idx="5">
                  <c:v>0.0</c:v>
                </c:pt>
                <c:pt idx="6">
                  <c:v>0.0</c:v>
                </c:pt>
              </c:numCache>
            </c:numRef>
          </c:val>
        </c:ser>
        <c:dLbls>
          <c:showLegendKey val="0"/>
          <c:showVal val="0"/>
          <c:showCatName val="0"/>
          <c:showSerName val="0"/>
          <c:showPercent val="0"/>
          <c:showBubbleSize val="0"/>
        </c:dLbls>
        <c:gapWidth val="150"/>
        <c:axId val="-2075194216"/>
        <c:axId val="-2075191272"/>
      </c:barChart>
      <c:catAx>
        <c:axId val="-2075194216"/>
        <c:scaling>
          <c:orientation val="minMax"/>
        </c:scaling>
        <c:delete val="0"/>
        <c:axPos val="b"/>
        <c:majorTickMark val="out"/>
        <c:minorTickMark val="none"/>
        <c:tickLblPos val="nextTo"/>
        <c:crossAx val="-2075191272"/>
        <c:crosses val="autoZero"/>
        <c:auto val="1"/>
        <c:lblAlgn val="ctr"/>
        <c:lblOffset val="100"/>
        <c:noMultiLvlLbl val="0"/>
      </c:catAx>
      <c:valAx>
        <c:axId val="-2075191272"/>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75194216"/>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1.11 Frequency</a:t>
            </a:r>
            <a:r>
              <a:rPr lang="en-US" baseline="0"/>
              <a:t> of use of language at work</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Totals'!$E$99</c:f>
              <c:strCache>
                <c:ptCount val="1"/>
                <c:pt idx="0">
                  <c:v>0-4</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Totals'!$E$100:$E$104</c:f>
              <c:numCache>
                <c:formatCode>General</c:formatCode>
                <c:ptCount val="5"/>
                <c:pt idx="0">
                  <c:v>0.0</c:v>
                </c:pt>
                <c:pt idx="1">
                  <c:v>0.0</c:v>
                </c:pt>
                <c:pt idx="2">
                  <c:v>0.0</c:v>
                </c:pt>
                <c:pt idx="3">
                  <c:v>0.0</c:v>
                </c:pt>
                <c:pt idx="4">
                  <c:v>0.0</c:v>
                </c:pt>
              </c:numCache>
            </c:numRef>
          </c:val>
        </c:ser>
        <c:ser>
          <c:idx val="1"/>
          <c:order val="1"/>
          <c:tx>
            <c:strRef>
              <c:f>'Response Totals'!$F$99</c:f>
              <c:strCache>
                <c:ptCount val="1"/>
                <c:pt idx="0">
                  <c:v>5-14</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Totals'!$F$100:$F$104</c:f>
              <c:numCache>
                <c:formatCode>General</c:formatCode>
                <c:ptCount val="5"/>
                <c:pt idx="0">
                  <c:v>0.0</c:v>
                </c:pt>
                <c:pt idx="1">
                  <c:v>0.0</c:v>
                </c:pt>
                <c:pt idx="2">
                  <c:v>0.0</c:v>
                </c:pt>
                <c:pt idx="3">
                  <c:v>0.0</c:v>
                </c:pt>
                <c:pt idx="4">
                  <c:v>0.0</c:v>
                </c:pt>
              </c:numCache>
            </c:numRef>
          </c:val>
        </c:ser>
        <c:ser>
          <c:idx val="2"/>
          <c:order val="2"/>
          <c:tx>
            <c:strRef>
              <c:f>'Response Totals'!$G$99</c:f>
              <c:strCache>
                <c:ptCount val="1"/>
                <c:pt idx="0">
                  <c:v>15-19</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Totals'!$G$100:$G$104</c:f>
              <c:numCache>
                <c:formatCode>General</c:formatCode>
                <c:ptCount val="5"/>
                <c:pt idx="0">
                  <c:v>0.0</c:v>
                </c:pt>
                <c:pt idx="1">
                  <c:v>0.0</c:v>
                </c:pt>
                <c:pt idx="2">
                  <c:v>0.0</c:v>
                </c:pt>
                <c:pt idx="3">
                  <c:v>0.0</c:v>
                </c:pt>
                <c:pt idx="4">
                  <c:v>0.0</c:v>
                </c:pt>
              </c:numCache>
            </c:numRef>
          </c:val>
        </c:ser>
        <c:ser>
          <c:idx val="3"/>
          <c:order val="3"/>
          <c:tx>
            <c:strRef>
              <c:f>'Response Totals'!$H$99</c:f>
              <c:strCache>
                <c:ptCount val="1"/>
                <c:pt idx="0">
                  <c:v>20-24</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Totals'!$H$100:$H$104</c:f>
              <c:numCache>
                <c:formatCode>General</c:formatCode>
                <c:ptCount val="5"/>
                <c:pt idx="0">
                  <c:v>0.0</c:v>
                </c:pt>
                <c:pt idx="1">
                  <c:v>0.0</c:v>
                </c:pt>
                <c:pt idx="2">
                  <c:v>0.0</c:v>
                </c:pt>
                <c:pt idx="3">
                  <c:v>0.0</c:v>
                </c:pt>
                <c:pt idx="4">
                  <c:v>0.0</c:v>
                </c:pt>
              </c:numCache>
            </c:numRef>
          </c:val>
        </c:ser>
        <c:ser>
          <c:idx val="4"/>
          <c:order val="4"/>
          <c:tx>
            <c:strRef>
              <c:f>'Response Totals'!$I$99</c:f>
              <c:strCache>
                <c:ptCount val="1"/>
                <c:pt idx="0">
                  <c:v>25-44</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Totals'!$I$100:$I$104</c:f>
              <c:numCache>
                <c:formatCode>General</c:formatCode>
                <c:ptCount val="5"/>
                <c:pt idx="0">
                  <c:v>0.0</c:v>
                </c:pt>
                <c:pt idx="1">
                  <c:v>0.0</c:v>
                </c:pt>
                <c:pt idx="2">
                  <c:v>0.0</c:v>
                </c:pt>
                <c:pt idx="3">
                  <c:v>0.0</c:v>
                </c:pt>
                <c:pt idx="4">
                  <c:v>0.0</c:v>
                </c:pt>
              </c:numCache>
            </c:numRef>
          </c:val>
        </c:ser>
        <c:ser>
          <c:idx val="5"/>
          <c:order val="5"/>
          <c:tx>
            <c:strRef>
              <c:f>'Response Totals'!$J$99</c:f>
              <c:strCache>
                <c:ptCount val="1"/>
                <c:pt idx="0">
                  <c:v>45-54</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Totals'!$J$100:$J$104</c:f>
              <c:numCache>
                <c:formatCode>General</c:formatCode>
                <c:ptCount val="5"/>
                <c:pt idx="0">
                  <c:v>0.0</c:v>
                </c:pt>
                <c:pt idx="1">
                  <c:v>0.0</c:v>
                </c:pt>
                <c:pt idx="2">
                  <c:v>0.0</c:v>
                </c:pt>
                <c:pt idx="3">
                  <c:v>0.0</c:v>
                </c:pt>
                <c:pt idx="4">
                  <c:v>0.0</c:v>
                </c:pt>
              </c:numCache>
            </c:numRef>
          </c:val>
        </c:ser>
        <c:ser>
          <c:idx val="6"/>
          <c:order val="6"/>
          <c:tx>
            <c:strRef>
              <c:f>'Response Totals'!$K$99</c:f>
              <c:strCache>
                <c:ptCount val="1"/>
                <c:pt idx="0">
                  <c:v>55-64</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Totals'!$K$100:$K$104</c:f>
              <c:numCache>
                <c:formatCode>General</c:formatCode>
                <c:ptCount val="5"/>
                <c:pt idx="0">
                  <c:v>0.0</c:v>
                </c:pt>
                <c:pt idx="1">
                  <c:v>0.0</c:v>
                </c:pt>
                <c:pt idx="2">
                  <c:v>0.0</c:v>
                </c:pt>
                <c:pt idx="3">
                  <c:v>0.0</c:v>
                </c:pt>
                <c:pt idx="4">
                  <c:v>0.0</c:v>
                </c:pt>
              </c:numCache>
            </c:numRef>
          </c:val>
        </c:ser>
        <c:ser>
          <c:idx val="7"/>
          <c:order val="7"/>
          <c:tx>
            <c:strRef>
              <c:f>'Response Totals'!$L$99</c:f>
              <c:strCache>
                <c:ptCount val="1"/>
                <c:pt idx="0">
                  <c:v>65-74</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Totals'!$L$100:$L$104</c:f>
              <c:numCache>
                <c:formatCode>General</c:formatCode>
                <c:ptCount val="5"/>
                <c:pt idx="0">
                  <c:v>0.0</c:v>
                </c:pt>
                <c:pt idx="1">
                  <c:v>0.0</c:v>
                </c:pt>
                <c:pt idx="2">
                  <c:v>0.0</c:v>
                </c:pt>
                <c:pt idx="3">
                  <c:v>0.0</c:v>
                </c:pt>
                <c:pt idx="4">
                  <c:v>0.0</c:v>
                </c:pt>
              </c:numCache>
            </c:numRef>
          </c:val>
        </c:ser>
        <c:ser>
          <c:idx val="8"/>
          <c:order val="8"/>
          <c:tx>
            <c:strRef>
              <c:f>'Response Totals'!$M$99</c:f>
              <c:strCache>
                <c:ptCount val="1"/>
                <c:pt idx="0">
                  <c:v>75-84</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Totals'!$M$100:$M$104</c:f>
              <c:numCache>
                <c:formatCode>General</c:formatCode>
                <c:ptCount val="5"/>
                <c:pt idx="0">
                  <c:v>0.0</c:v>
                </c:pt>
                <c:pt idx="1">
                  <c:v>0.0</c:v>
                </c:pt>
                <c:pt idx="2">
                  <c:v>0.0</c:v>
                </c:pt>
                <c:pt idx="3">
                  <c:v>0.0</c:v>
                </c:pt>
                <c:pt idx="4">
                  <c:v>0.0</c:v>
                </c:pt>
              </c:numCache>
            </c:numRef>
          </c:val>
        </c:ser>
        <c:ser>
          <c:idx val="9"/>
          <c:order val="9"/>
          <c:tx>
            <c:strRef>
              <c:f>'Response Totals'!$N$99</c:f>
              <c:strCache>
                <c:ptCount val="1"/>
                <c:pt idx="0">
                  <c:v>85+</c:v>
                </c:pt>
              </c:strCache>
            </c:strRef>
          </c:tx>
          <c:invertIfNegative val="0"/>
          <c:cat>
            <c:strRef>
              <c:f>'Response Totals'!$A$100:$A$104</c:f>
              <c:strCache>
                <c:ptCount val="5"/>
                <c:pt idx="0">
                  <c:v>Always</c:v>
                </c:pt>
                <c:pt idx="1">
                  <c:v>Sometimes</c:v>
                </c:pt>
                <c:pt idx="2">
                  <c:v>Very Little</c:v>
                </c:pt>
                <c:pt idx="3">
                  <c:v>Never</c:v>
                </c:pt>
                <c:pt idx="4">
                  <c:v>NA</c:v>
                </c:pt>
              </c:strCache>
            </c:strRef>
          </c:cat>
          <c:val>
            <c:numRef>
              <c:f>'Response Totals'!$N$100:$N$104</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94599112"/>
        <c:axId val="-2094606536"/>
      </c:barChart>
      <c:catAx>
        <c:axId val="-2094599112"/>
        <c:scaling>
          <c:orientation val="minMax"/>
        </c:scaling>
        <c:delete val="0"/>
        <c:axPos val="b"/>
        <c:majorTickMark val="out"/>
        <c:minorTickMark val="none"/>
        <c:tickLblPos val="nextTo"/>
        <c:crossAx val="-2094606536"/>
        <c:crosses val="autoZero"/>
        <c:auto val="1"/>
        <c:lblAlgn val="ctr"/>
        <c:lblOffset val="100"/>
        <c:noMultiLvlLbl val="0"/>
      </c:catAx>
      <c:valAx>
        <c:axId val="-2094606536"/>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94599112"/>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1.13 Frequency</a:t>
            </a:r>
            <a:r>
              <a:rPr lang="en-US" baseline="0"/>
              <a:t> of use of language at school</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Totals'!$E$110</c:f>
              <c:strCache>
                <c:ptCount val="1"/>
                <c:pt idx="0">
                  <c:v>0-4</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Totals'!$E$111:$E$115</c:f>
              <c:numCache>
                <c:formatCode>General</c:formatCode>
                <c:ptCount val="5"/>
                <c:pt idx="0">
                  <c:v>0.0</c:v>
                </c:pt>
                <c:pt idx="1">
                  <c:v>0.0</c:v>
                </c:pt>
                <c:pt idx="2">
                  <c:v>0.0</c:v>
                </c:pt>
                <c:pt idx="3">
                  <c:v>0.0</c:v>
                </c:pt>
                <c:pt idx="4">
                  <c:v>0.0</c:v>
                </c:pt>
              </c:numCache>
            </c:numRef>
          </c:val>
        </c:ser>
        <c:ser>
          <c:idx val="1"/>
          <c:order val="1"/>
          <c:tx>
            <c:strRef>
              <c:f>'Response Totals'!$F$110</c:f>
              <c:strCache>
                <c:ptCount val="1"/>
                <c:pt idx="0">
                  <c:v>5-14</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Totals'!$F$111:$F$115</c:f>
              <c:numCache>
                <c:formatCode>General</c:formatCode>
                <c:ptCount val="5"/>
                <c:pt idx="0">
                  <c:v>0.0</c:v>
                </c:pt>
                <c:pt idx="1">
                  <c:v>0.0</c:v>
                </c:pt>
                <c:pt idx="2">
                  <c:v>0.0</c:v>
                </c:pt>
                <c:pt idx="3">
                  <c:v>0.0</c:v>
                </c:pt>
                <c:pt idx="4">
                  <c:v>0.0</c:v>
                </c:pt>
              </c:numCache>
            </c:numRef>
          </c:val>
        </c:ser>
        <c:ser>
          <c:idx val="2"/>
          <c:order val="2"/>
          <c:tx>
            <c:strRef>
              <c:f>'Response Totals'!$G$110</c:f>
              <c:strCache>
                <c:ptCount val="1"/>
                <c:pt idx="0">
                  <c:v>15-19</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Totals'!$G$111:$G$115</c:f>
              <c:numCache>
                <c:formatCode>General</c:formatCode>
                <c:ptCount val="5"/>
                <c:pt idx="0">
                  <c:v>0.0</c:v>
                </c:pt>
                <c:pt idx="1">
                  <c:v>0.0</c:v>
                </c:pt>
                <c:pt idx="2">
                  <c:v>0.0</c:v>
                </c:pt>
                <c:pt idx="3">
                  <c:v>0.0</c:v>
                </c:pt>
                <c:pt idx="4">
                  <c:v>0.0</c:v>
                </c:pt>
              </c:numCache>
            </c:numRef>
          </c:val>
        </c:ser>
        <c:ser>
          <c:idx val="3"/>
          <c:order val="3"/>
          <c:tx>
            <c:strRef>
              <c:f>'Response Totals'!$H$110</c:f>
              <c:strCache>
                <c:ptCount val="1"/>
                <c:pt idx="0">
                  <c:v>20-24</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Totals'!$H$111:$H$115</c:f>
              <c:numCache>
                <c:formatCode>General</c:formatCode>
                <c:ptCount val="5"/>
                <c:pt idx="0">
                  <c:v>0.0</c:v>
                </c:pt>
                <c:pt idx="1">
                  <c:v>0.0</c:v>
                </c:pt>
                <c:pt idx="2">
                  <c:v>0.0</c:v>
                </c:pt>
                <c:pt idx="3">
                  <c:v>0.0</c:v>
                </c:pt>
                <c:pt idx="4">
                  <c:v>0.0</c:v>
                </c:pt>
              </c:numCache>
            </c:numRef>
          </c:val>
        </c:ser>
        <c:ser>
          <c:idx val="4"/>
          <c:order val="4"/>
          <c:tx>
            <c:strRef>
              <c:f>'Response Totals'!$I$110</c:f>
              <c:strCache>
                <c:ptCount val="1"/>
                <c:pt idx="0">
                  <c:v>25-44</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Totals'!$I$111:$I$115</c:f>
              <c:numCache>
                <c:formatCode>General</c:formatCode>
                <c:ptCount val="5"/>
                <c:pt idx="0">
                  <c:v>0.0</c:v>
                </c:pt>
                <c:pt idx="1">
                  <c:v>0.0</c:v>
                </c:pt>
                <c:pt idx="2">
                  <c:v>0.0</c:v>
                </c:pt>
                <c:pt idx="3">
                  <c:v>0.0</c:v>
                </c:pt>
                <c:pt idx="4">
                  <c:v>0.0</c:v>
                </c:pt>
              </c:numCache>
            </c:numRef>
          </c:val>
        </c:ser>
        <c:ser>
          <c:idx val="5"/>
          <c:order val="5"/>
          <c:tx>
            <c:strRef>
              <c:f>'Response Totals'!$J$110</c:f>
              <c:strCache>
                <c:ptCount val="1"/>
                <c:pt idx="0">
                  <c:v>45-54</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Totals'!$J$111:$J$115</c:f>
              <c:numCache>
                <c:formatCode>General</c:formatCode>
                <c:ptCount val="5"/>
                <c:pt idx="0">
                  <c:v>0.0</c:v>
                </c:pt>
                <c:pt idx="1">
                  <c:v>0.0</c:v>
                </c:pt>
                <c:pt idx="2">
                  <c:v>0.0</c:v>
                </c:pt>
                <c:pt idx="3">
                  <c:v>0.0</c:v>
                </c:pt>
                <c:pt idx="4">
                  <c:v>0.0</c:v>
                </c:pt>
              </c:numCache>
            </c:numRef>
          </c:val>
        </c:ser>
        <c:ser>
          <c:idx val="6"/>
          <c:order val="6"/>
          <c:tx>
            <c:strRef>
              <c:f>'Response Totals'!$K$110</c:f>
              <c:strCache>
                <c:ptCount val="1"/>
                <c:pt idx="0">
                  <c:v>55-64</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Totals'!$K$111:$K$115</c:f>
              <c:numCache>
                <c:formatCode>General</c:formatCode>
                <c:ptCount val="5"/>
                <c:pt idx="0">
                  <c:v>0.0</c:v>
                </c:pt>
                <c:pt idx="1">
                  <c:v>0.0</c:v>
                </c:pt>
                <c:pt idx="2">
                  <c:v>0.0</c:v>
                </c:pt>
                <c:pt idx="3">
                  <c:v>0.0</c:v>
                </c:pt>
                <c:pt idx="4">
                  <c:v>0.0</c:v>
                </c:pt>
              </c:numCache>
            </c:numRef>
          </c:val>
        </c:ser>
        <c:ser>
          <c:idx val="7"/>
          <c:order val="7"/>
          <c:tx>
            <c:strRef>
              <c:f>'Response Totals'!$L$110</c:f>
              <c:strCache>
                <c:ptCount val="1"/>
                <c:pt idx="0">
                  <c:v>65-74</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Totals'!$L$111:$L$115</c:f>
              <c:numCache>
                <c:formatCode>General</c:formatCode>
                <c:ptCount val="5"/>
                <c:pt idx="0">
                  <c:v>0.0</c:v>
                </c:pt>
                <c:pt idx="1">
                  <c:v>0.0</c:v>
                </c:pt>
                <c:pt idx="2">
                  <c:v>0.0</c:v>
                </c:pt>
                <c:pt idx="3">
                  <c:v>0.0</c:v>
                </c:pt>
                <c:pt idx="4">
                  <c:v>0.0</c:v>
                </c:pt>
              </c:numCache>
            </c:numRef>
          </c:val>
        </c:ser>
        <c:ser>
          <c:idx val="8"/>
          <c:order val="8"/>
          <c:tx>
            <c:strRef>
              <c:f>'Response Totals'!$M$110</c:f>
              <c:strCache>
                <c:ptCount val="1"/>
                <c:pt idx="0">
                  <c:v>75-84</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Totals'!$M$111:$M$115</c:f>
              <c:numCache>
                <c:formatCode>General</c:formatCode>
                <c:ptCount val="5"/>
                <c:pt idx="0">
                  <c:v>0.0</c:v>
                </c:pt>
                <c:pt idx="1">
                  <c:v>0.0</c:v>
                </c:pt>
                <c:pt idx="2">
                  <c:v>0.0</c:v>
                </c:pt>
                <c:pt idx="3">
                  <c:v>0.0</c:v>
                </c:pt>
                <c:pt idx="4">
                  <c:v>0.0</c:v>
                </c:pt>
              </c:numCache>
            </c:numRef>
          </c:val>
        </c:ser>
        <c:ser>
          <c:idx val="9"/>
          <c:order val="9"/>
          <c:tx>
            <c:strRef>
              <c:f>'Response Totals'!$N$110</c:f>
              <c:strCache>
                <c:ptCount val="1"/>
                <c:pt idx="0">
                  <c:v>85+</c:v>
                </c:pt>
              </c:strCache>
            </c:strRef>
          </c:tx>
          <c:invertIfNegative val="0"/>
          <c:cat>
            <c:strRef>
              <c:f>'Response Totals'!$A$111:$A$115</c:f>
              <c:strCache>
                <c:ptCount val="5"/>
                <c:pt idx="0">
                  <c:v>Always</c:v>
                </c:pt>
                <c:pt idx="1">
                  <c:v>Sometimes</c:v>
                </c:pt>
                <c:pt idx="2">
                  <c:v>Very Little</c:v>
                </c:pt>
                <c:pt idx="3">
                  <c:v>Never</c:v>
                </c:pt>
                <c:pt idx="4">
                  <c:v>NA</c:v>
                </c:pt>
              </c:strCache>
            </c:strRef>
          </c:cat>
          <c:val>
            <c:numRef>
              <c:f>'Response Totals'!$N$111:$N$115</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86488488"/>
        <c:axId val="-2086490392"/>
      </c:barChart>
      <c:catAx>
        <c:axId val="-2086488488"/>
        <c:scaling>
          <c:orientation val="minMax"/>
        </c:scaling>
        <c:delete val="0"/>
        <c:axPos val="b"/>
        <c:majorTickMark val="out"/>
        <c:minorTickMark val="none"/>
        <c:tickLblPos val="nextTo"/>
        <c:crossAx val="-2086490392"/>
        <c:crosses val="autoZero"/>
        <c:auto val="1"/>
        <c:lblAlgn val="ctr"/>
        <c:lblOffset val="100"/>
        <c:noMultiLvlLbl val="0"/>
      </c:catAx>
      <c:valAx>
        <c:axId val="-2086490392"/>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6488488"/>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1.15 Frequency</a:t>
            </a:r>
            <a:r>
              <a:rPr lang="en-US" baseline="0"/>
              <a:t> of use of language at community gatherings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Totals'!$E$121</c:f>
              <c:strCache>
                <c:ptCount val="1"/>
                <c:pt idx="0">
                  <c:v>0-4</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Totals'!$E$122:$E$126</c:f>
              <c:numCache>
                <c:formatCode>General</c:formatCode>
                <c:ptCount val="5"/>
                <c:pt idx="0">
                  <c:v>0.0</c:v>
                </c:pt>
                <c:pt idx="1">
                  <c:v>0.0</c:v>
                </c:pt>
                <c:pt idx="2">
                  <c:v>0.0</c:v>
                </c:pt>
                <c:pt idx="3">
                  <c:v>0.0</c:v>
                </c:pt>
                <c:pt idx="4">
                  <c:v>0.0</c:v>
                </c:pt>
              </c:numCache>
            </c:numRef>
          </c:val>
        </c:ser>
        <c:ser>
          <c:idx val="1"/>
          <c:order val="1"/>
          <c:tx>
            <c:strRef>
              <c:f>'Response Totals'!$F$121</c:f>
              <c:strCache>
                <c:ptCount val="1"/>
                <c:pt idx="0">
                  <c:v>5-14</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Totals'!$F$122:$F$126</c:f>
              <c:numCache>
                <c:formatCode>General</c:formatCode>
                <c:ptCount val="5"/>
                <c:pt idx="0">
                  <c:v>0.0</c:v>
                </c:pt>
                <c:pt idx="1">
                  <c:v>0.0</c:v>
                </c:pt>
                <c:pt idx="2">
                  <c:v>0.0</c:v>
                </c:pt>
                <c:pt idx="3">
                  <c:v>0.0</c:v>
                </c:pt>
                <c:pt idx="4">
                  <c:v>0.0</c:v>
                </c:pt>
              </c:numCache>
            </c:numRef>
          </c:val>
        </c:ser>
        <c:ser>
          <c:idx val="2"/>
          <c:order val="2"/>
          <c:tx>
            <c:strRef>
              <c:f>'Response Totals'!$G$121</c:f>
              <c:strCache>
                <c:ptCount val="1"/>
                <c:pt idx="0">
                  <c:v>15-19</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Totals'!$G$122:$G$126</c:f>
              <c:numCache>
                <c:formatCode>General</c:formatCode>
                <c:ptCount val="5"/>
                <c:pt idx="0">
                  <c:v>0.0</c:v>
                </c:pt>
                <c:pt idx="1">
                  <c:v>0.0</c:v>
                </c:pt>
                <c:pt idx="2">
                  <c:v>0.0</c:v>
                </c:pt>
                <c:pt idx="3">
                  <c:v>0.0</c:v>
                </c:pt>
                <c:pt idx="4">
                  <c:v>0.0</c:v>
                </c:pt>
              </c:numCache>
            </c:numRef>
          </c:val>
        </c:ser>
        <c:ser>
          <c:idx val="3"/>
          <c:order val="3"/>
          <c:tx>
            <c:strRef>
              <c:f>'Response Totals'!$H$121</c:f>
              <c:strCache>
                <c:ptCount val="1"/>
                <c:pt idx="0">
                  <c:v>20-24</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Totals'!$H$122:$H$126</c:f>
              <c:numCache>
                <c:formatCode>General</c:formatCode>
                <c:ptCount val="5"/>
                <c:pt idx="0">
                  <c:v>0.0</c:v>
                </c:pt>
                <c:pt idx="1">
                  <c:v>0.0</c:v>
                </c:pt>
                <c:pt idx="2">
                  <c:v>0.0</c:v>
                </c:pt>
                <c:pt idx="3">
                  <c:v>0.0</c:v>
                </c:pt>
                <c:pt idx="4">
                  <c:v>0.0</c:v>
                </c:pt>
              </c:numCache>
            </c:numRef>
          </c:val>
        </c:ser>
        <c:ser>
          <c:idx val="4"/>
          <c:order val="4"/>
          <c:tx>
            <c:strRef>
              <c:f>'Response Totals'!$I$121</c:f>
              <c:strCache>
                <c:ptCount val="1"/>
                <c:pt idx="0">
                  <c:v>25-44</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Totals'!$I$122:$I$126</c:f>
              <c:numCache>
                <c:formatCode>General</c:formatCode>
                <c:ptCount val="5"/>
                <c:pt idx="0">
                  <c:v>0.0</c:v>
                </c:pt>
                <c:pt idx="1">
                  <c:v>0.0</c:v>
                </c:pt>
                <c:pt idx="2">
                  <c:v>0.0</c:v>
                </c:pt>
                <c:pt idx="3">
                  <c:v>0.0</c:v>
                </c:pt>
                <c:pt idx="4">
                  <c:v>0.0</c:v>
                </c:pt>
              </c:numCache>
            </c:numRef>
          </c:val>
        </c:ser>
        <c:ser>
          <c:idx val="5"/>
          <c:order val="5"/>
          <c:tx>
            <c:strRef>
              <c:f>'Response Totals'!$J$121</c:f>
              <c:strCache>
                <c:ptCount val="1"/>
                <c:pt idx="0">
                  <c:v>45-54</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Totals'!$J$122:$J$126</c:f>
              <c:numCache>
                <c:formatCode>General</c:formatCode>
                <c:ptCount val="5"/>
                <c:pt idx="0">
                  <c:v>0.0</c:v>
                </c:pt>
                <c:pt idx="1">
                  <c:v>0.0</c:v>
                </c:pt>
                <c:pt idx="2">
                  <c:v>0.0</c:v>
                </c:pt>
                <c:pt idx="3">
                  <c:v>0.0</c:v>
                </c:pt>
                <c:pt idx="4">
                  <c:v>0.0</c:v>
                </c:pt>
              </c:numCache>
            </c:numRef>
          </c:val>
        </c:ser>
        <c:ser>
          <c:idx val="6"/>
          <c:order val="6"/>
          <c:tx>
            <c:strRef>
              <c:f>'Response Totals'!$K$121</c:f>
              <c:strCache>
                <c:ptCount val="1"/>
                <c:pt idx="0">
                  <c:v>55-64</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Totals'!$K$122:$K$126</c:f>
              <c:numCache>
                <c:formatCode>General</c:formatCode>
                <c:ptCount val="5"/>
                <c:pt idx="0">
                  <c:v>0.0</c:v>
                </c:pt>
                <c:pt idx="1">
                  <c:v>0.0</c:v>
                </c:pt>
                <c:pt idx="2">
                  <c:v>0.0</c:v>
                </c:pt>
                <c:pt idx="3">
                  <c:v>0.0</c:v>
                </c:pt>
                <c:pt idx="4">
                  <c:v>0.0</c:v>
                </c:pt>
              </c:numCache>
            </c:numRef>
          </c:val>
        </c:ser>
        <c:ser>
          <c:idx val="7"/>
          <c:order val="7"/>
          <c:tx>
            <c:strRef>
              <c:f>'Response Totals'!$L$121</c:f>
              <c:strCache>
                <c:ptCount val="1"/>
                <c:pt idx="0">
                  <c:v>65-74</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Totals'!$L$122:$L$126</c:f>
              <c:numCache>
                <c:formatCode>General</c:formatCode>
                <c:ptCount val="5"/>
                <c:pt idx="0">
                  <c:v>0.0</c:v>
                </c:pt>
                <c:pt idx="1">
                  <c:v>0.0</c:v>
                </c:pt>
                <c:pt idx="2">
                  <c:v>0.0</c:v>
                </c:pt>
                <c:pt idx="3">
                  <c:v>0.0</c:v>
                </c:pt>
                <c:pt idx="4">
                  <c:v>0.0</c:v>
                </c:pt>
              </c:numCache>
            </c:numRef>
          </c:val>
        </c:ser>
        <c:ser>
          <c:idx val="8"/>
          <c:order val="8"/>
          <c:tx>
            <c:strRef>
              <c:f>'Response Totals'!$M$121</c:f>
              <c:strCache>
                <c:ptCount val="1"/>
                <c:pt idx="0">
                  <c:v>75-84</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Totals'!$M$122:$M$126</c:f>
              <c:numCache>
                <c:formatCode>General</c:formatCode>
                <c:ptCount val="5"/>
                <c:pt idx="0">
                  <c:v>0.0</c:v>
                </c:pt>
                <c:pt idx="1">
                  <c:v>0.0</c:v>
                </c:pt>
                <c:pt idx="2">
                  <c:v>0.0</c:v>
                </c:pt>
                <c:pt idx="3">
                  <c:v>0.0</c:v>
                </c:pt>
                <c:pt idx="4">
                  <c:v>0.0</c:v>
                </c:pt>
              </c:numCache>
            </c:numRef>
          </c:val>
        </c:ser>
        <c:ser>
          <c:idx val="9"/>
          <c:order val="9"/>
          <c:tx>
            <c:strRef>
              <c:f>'Response Totals'!$N$121</c:f>
              <c:strCache>
                <c:ptCount val="1"/>
                <c:pt idx="0">
                  <c:v>85+</c:v>
                </c:pt>
              </c:strCache>
            </c:strRef>
          </c:tx>
          <c:invertIfNegative val="0"/>
          <c:cat>
            <c:strRef>
              <c:f>'Response Totals'!$A$122:$A$126</c:f>
              <c:strCache>
                <c:ptCount val="5"/>
                <c:pt idx="0">
                  <c:v>Always</c:v>
                </c:pt>
                <c:pt idx="1">
                  <c:v>Sometimes</c:v>
                </c:pt>
                <c:pt idx="2">
                  <c:v>Very Little</c:v>
                </c:pt>
                <c:pt idx="3">
                  <c:v>Never</c:v>
                </c:pt>
                <c:pt idx="4">
                  <c:v>NA</c:v>
                </c:pt>
              </c:strCache>
            </c:strRef>
          </c:cat>
          <c:val>
            <c:numRef>
              <c:f>'Response Totals'!$N$122:$N$126</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86615416"/>
        <c:axId val="-2086619752"/>
      </c:barChart>
      <c:catAx>
        <c:axId val="-2086615416"/>
        <c:scaling>
          <c:orientation val="minMax"/>
        </c:scaling>
        <c:delete val="0"/>
        <c:axPos val="b"/>
        <c:majorTickMark val="out"/>
        <c:minorTickMark val="none"/>
        <c:tickLblPos val="nextTo"/>
        <c:crossAx val="-2086619752"/>
        <c:crosses val="autoZero"/>
        <c:auto val="1"/>
        <c:lblAlgn val="ctr"/>
        <c:lblOffset val="100"/>
        <c:noMultiLvlLbl val="0"/>
      </c:catAx>
      <c:valAx>
        <c:axId val="-2086619752"/>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6615416"/>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1.17 Frequency</a:t>
            </a:r>
            <a:r>
              <a:rPr lang="en-US" baseline="0"/>
              <a:t> of use of language at traditional or ceremonial gatherings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Totals'!$E$132</c:f>
              <c:strCache>
                <c:ptCount val="1"/>
                <c:pt idx="0">
                  <c:v>0-4</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Totals'!$E$133:$E$137</c:f>
              <c:numCache>
                <c:formatCode>General</c:formatCode>
                <c:ptCount val="5"/>
                <c:pt idx="0">
                  <c:v>0.0</c:v>
                </c:pt>
                <c:pt idx="1">
                  <c:v>0.0</c:v>
                </c:pt>
                <c:pt idx="2">
                  <c:v>0.0</c:v>
                </c:pt>
                <c:pt idx="3">
                  <c:v>0.0</c:v>
                </c:pt>
                <c:pt idx="4">
                  <c:v>0.0</c:v>
                </c:pt>
              </c:numCache>
            </c:numRef>
          </c:val>
        </c:ser>
        <c:ser>
          <c:idx val="1"/>
          <c:order val="1"/>
          <c:tx>
            <c:strRef>
              <c:f>'Response Totals'!$F$132</c:f>
              <c:strCache>
                <c:ptCount val="1"/>
                <c:pt idx="0">
                  <c:v>5-14</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Totals'!$F$133:$F$137</c:f>
              <c:numCache>
                <c:formatCode>General</c:formatCode>
                <c:ptCount val="5"/>
                <c:pt idx="0">
                  <c:v>0.0</c:v>
                </c:pt>
                <c:pt idx="1">
                  <c:v>0.0</c:v>
                </c:pt>
                <c:pt idx="2">
                  <c:v>0.0</c:v>
                </c:pt>
                <c:pt idx="3">
                  <c:v>0.0</c:v>
                </c:pt>
                <c:pt idx="4">
                  <c:v>0.0</c:v>
                </c:pt>
              </c:numCache>
            </c:numRef>
          </c:val>
        </c:ser>
        <c:ser>
          <c:idx val="2"/>
          <c:order val="2"/>
          <c:tx>
            <c:strRef>
              <c:f>'Response Totals'!$G$132</c:f>
              <c:strCache>
                <c:ptCount val="1"/>
                <c:pt idx="0">
                  <c:v>15-19</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Totals'!$G$133:$G$137</c:f>
              <c:numCache>
                <c:formatCode>General</c:formatCode>
                <c:ptCount val="5"/>
                <c:pt idx="0">
                  <c:v>0.0</c:v>
                </c:pt>
                <c:pt idx="1">
                  <c:v>0.0</c:v>
                </c:pt>
                <c:pt idx="2">
                  <c:v>0.0</c:v>
                </c:pt>
                <c:pt idx="3">
                  <c:v>0.0</c:v>
                </c:pt>
                <c:pt idx="4">
                  <c:v>0.0</c:v>
                </c:pt>
              </c:numCache>
            </c:numRef>
          </c:val>
        </c:ser>
        <c:ser>
          <c:idx val="3"/>
          <c:order val="3"/>
          <c:tx>
            <c:strRef>
              <c:f>'Response Totals'!$H$132</c:f>
              <c:strCache>
                <c:ptCount val="1"/>
                <c:pt idx="0">
                  <c:v>20-24</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Totals'!$H$133:$H$137</c:f>
              <c:numCache>
                <c:formatCode>General</c:formatCode>
                <c:ptCount val="5"/>
                <c:pt idx="0">
                  <c:v>0.0</c:v>
                </c:pt>
                <c:pt idx="1">
                  <c:v>0.0</c:v>
                </c:pt>
                <c:pt idx="2">
                  <c:v>0.0</c:v>
                </c:pt>
                <c:pt idx="3">
                  <c:v>0.0</c:v>
                </c:pt>
                <c:pt idx="4">
                  <c:v>0.0</c:v>
                </c:pt>
              </c:numCache>
            </c:numRef>
          </c:val>
        </c:ser>
        <c:ser>
          <c:idx val="4"/>
          <c:order val="4"/>
          <c:tx>
            <c:strRef>
              <c:f>'Response Totals'!$I$132</c:f>
              <c:strCache>
                <c:ptCount val="1"/>
                <c:pt idx="0">
                  <c:v>25-44</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Totals'!$I$133:$I$137</c:f>
              <c:numCache>
                <c:formatCode>General</c:formatCode>
                <c:ptCount val="5"/>
                <c:pt idx="0">
                  <c:v>0.0</c:v>
                </c:pt>
                <c:pt idx="1">
                  <c:v>0.0</c:v>
                </c:pt>
                <c:pt idx="2">
                  <c:v>0.0</c:v>
                </c:pt>
                <c:pt idx="3">
                  <c:v>0.0</c:v>
                </c:pt>
                <c:pt idx="4">
                  <c:v>0.0</c:v>
                </c:pt>
              </c:numCache>
            </c:numRef>
          </c:val>
        </c:ser>
        <c:ser>
          <c:idx val="5"/>
          <c:order val="5"/>
          <c:tx>
            <c:strRef>
              <c:f>'Response Totals'!$J$132</c:f>
              <c:strCache>
                <c:ptCount val="1"/>
                <c:pt idx="0">
                  <c:v>45-54</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Totals'!$J$133:$J$137</c:f>
              <c:numCache>
                <c:formatCode>General</c:formatCode>
                <c:ptCount val="5"/>
                <c:pt idx="0">
                  <c:v>0.0</c:v>
                </c:pt>
                <c:pt idx="1">
                  <c:v>0.0</c:v>
                </c:pt>
                <c:pt idx="2">
                  <c:v>0.0</c:v>
                </c:pt>
                <c:pt idx="3">
                  <c:v>0.0</c:v>
                </c:pt>
                <c:pt idx="4">
                  <c:v>0.0</c:v>
                </c:pt>
              </c:numCache>
            </c:numRef>
          </c:val>
        </c:ser>
        <c:ser>
          <c:idx val="6"/>
          <c:order val="6"/>
          <c:tx>
            <c:strRef>
              <c:f>'Response Totals'!$K$132</c:f>
              <c:strCache>
                <c:ptCount val="1"/>
                <c:pt idx="0">
                  <c:v>55-64</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Totals'!$K$133:$K$137</c:f>
              <c:numCache>
                <c:formatCode>General</c:formatCode>
                <c:ptCount val="5"/>
                <c:pt idx="0">
                  <c:v>0.0</c:v>
                </c:pt>
                <c:pt idx="1">
                  <c:v>0.0</c:v>
                </c:pt>
                <c:pt idx="2">
                  <c:v>0.0</c:v>
                </c:pt>
                <c:pt idx="3">
                  <c:v>0.0</c:v>
                </c:pt>
                <c:pt idx="4">
                  <c:v>0.0</c:v>
                </c:pt>
              </c:numCache>
            </c:numRef>
          </c:val>
        </c:ser>
        <c:ser>
          <c:idx val="7"/>
          <c:order val="7"/>
          <c:tx>
            <c:strRef>
              <c:f>'Response Totals'!$L$132</c:f>
              <c:strCache>
                <c:ptCount val="1"/>
                <c:pt idx="0">
                  <c:v>65-74</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Totals'!$L$133:$L$137</c:f>
              <c:numCache>
                <c:formatCode>General</c:formatCode>
                <c:ptCount val="5"/>
                <c:pt idx="0">
                  <c:v>0.0</c:v>
                </c:pt>
                <c:pt idx="1">
                  <c:v>0.0</c:v>
                </c:pt>
                <c:pt idx="2">
                  <c:v>0.0</c:v>
                </c:pt>
                <c:pt idx="3">
                  <c:v>0.0</c:v>
                </c:pt>
                <c:pt idx="4">
                  <c:v>0.0</c:v>
                </c:pt>
              </c:numCache>
            </c:numRef>
          </c:val>
        </c:ser>
        <c:ser>
          <c:idx val="8"/>
          <c:order val="8"/>
          <c:tx>
            <c:strRef>
              <c:f>'Response Totals'!$M$132</c:f>
              <c:strCache>
                <c:ptCount val="1"/>
                <c:pt idx="0">
                  <c:v>75-84</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Totals'!$M$133:$M$137</c:f>
              <c:numCache>
                <c:formatCode>General</c:formatCode>
                <c:ptCount val="5"/>
                <c:pt idx="0">
                  <c:v>0.0</c:v>
                </c:pt>
                <c:pt idx="1">
                  <c:v>0.0</c:v>
                </c:pt>
                <c:pt idx="2">
                  <c:v>0.0</c:v>
                </c:pt>
                <c:pt idx="3">
                  <c:v>0.0</c:v>
                </c:pt>
                <c:pt idx="4">
                  <c:v>0.0</c:v>
                </c:pt>
              </c:numCache>
            </c:numRef>
          </c:val>
        </c:ser>
        <c:ser>
          <c:idx val="9"/>
          <c:order val="9"/>
          <c:tx>
            <c:strRef>
              <c:f>'Response Totals'!$N$132</c:f>
              <c:strCache>
                <c:ptCount val="1"/>
                <c:pt idx="0">
                  <c:v>85+</c:v>
                </c:pt>
              </c:strCache>
            </c:strRef>
          </c:tx>
          <c:invertIfNegative val="0"/>
          <c:cat>
            <c:strRef>
              <c:f>'Response Totals'!$A$133:$A$137</c:f>
              <c:strCache>
                <c:ptCount val="5"/>
                <c:pt idx="0">
                  <c:v>Always</c:v>
                </c:pt>
                <c:pt idx="1">
                  <c:v>Sometimes</c:v>
                </c:pt>
                <c:pt idx="2">
                  <c:v>Very Little</c:v>
                </c:pt>
                <c:pt idx="3">
                  <c:v>Never</c:v>
                </c:pt>
                <c:pt idx="4">
                  <c:v>NA</c:v>
                </c:pt>
              </c:strCache>
            </c:strRef>
          </c:cat>
          <c:val>
            <c:numRef>
              <c:f>'Response Totals'!$N$133:$N$137</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75151368"/>
        <c:axId val="-2075723016"/>
      </c:barChart>
      <c:catAx>
        <c:axId val="-2075151368"/>
        <c:scaling>
          <c:orientation val="minMax"/>
        </c:scaling>
        <c:delete val="0"/>
        <c:axPos val="b"/>
        <c:majorTickMark val="out"/>
        <c:minorTickMark val="none"/>
        <c:tickLblPos val="nextTo"/>
        <c:crossAx val="-2075723016"/>
        <c:crosses val="autoZero"/>
        <c:auto val="1"/>
        <c:lblAlgn val="ctr"/>
        <c:lblOffset val="100"/>
        <c:noMultiLvlLbl val="0"/>
      </c:catAx>
      <c:valAx>
        <c:axId val="-2075723016"/>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75151368"/>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1.19 Frequency</a:t>
            </a:r>
            <a:r>
              <a:rPr lang="en-US" baseline="0"/>
              <a:t> of use of language at church (if applicable)</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Totals'!$E$143</c:f>
              <c:strCache>
                <c:ptCount val="1"/>
                <c:pt idx="0">
                  <c:v>0-4</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Totals'!$E$144:$E$148</c:f>
              <c:numCache>
                <c:formatCode>General</c:formatCode>
                <c:ptCount val="5"/>
                <c:pt idx="0">
                  <c:v>0.0</c:v>
                </c:pt>
                <c:pt idx="1">
                  <c:v>0.0</c:v>
                </c:pt>
                <c:pt idx="2">
                  <c:v>0.0</c:v>
                </c:pt>
                <c:pt idx="3">
                  <c:v>0.0</c:v>
                </c:pt>
                <c:pt idx="4">
                  <c:v>0.0</c:v>
                </c:pt>
              </c:numCache>
            </c:numRef>
          </c:val>
        </c:ser>
        <c:ser>
          <c:idx val="1"/>
          <c:order val="1"/>
          <c:tx>
            <c:strRef>
              <c:f>'Response Totals'!$F$143</c:f>
              <c:strCache>
                <c:ptCount val="1"/>
                <c:pt idx="0">
                  <c:v>5-14</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Totals'!$F$144:$F$148</c:f>
              <c:numCache>
                <c:formatCode>General</c:formatCode>
                <c:ptCount val="5"/>
                <c:pt idx="0">
                  <c:v>0.0</c:v>
                </c:pt>
                <c:pt idx="1">
                  <c:v>0.0</c:v>
                </c:pt>
                <c:pt idx="2">
                  <c:v>0.0</c:v>
                </c:pt>
                <c:pt idx="3">
                  <c:v>0.0</c:v>
                </c:pt>
                <c:pt idx="4">
                  <c:v>0.0</c:v>
                </c:pt>
              </c:numCache>
            </c:numRef>
          </c:val>
        </c:ser>
        <c:ser>
          <c:idx val="2"/>
          <c:order val="2"/>
          <c:tx>
            <c:strRef>
              <c:f>'Response Totals'!$G$143</c:f>
              <c:strCache>
                <c:ptCount val="1"/>
                <c:pt idx="0">
                  <c:v>15-19</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Totals'!$G$144:$G$148</c:f>
              <c:numCache>
                <c:formatCode>General</c:formatCode>
                <c:ptCount val="5"/>
                <c:pt idx="0">
                  <c:v>0.0</c:v>
                </c:pt>
                <c:pt idx="1">
                  <c:v>0.0</c:v>
                </c:pt>
                <c:pt idx="2">
                  <c:v>0.0</c:v>
                </c:pt>
                <c:pt idx="3">
                  <c:v>0.0</c:v>
                </c:pt>
                <c:pt idx="4">
                  <c:v>0.0</c:v>
                </c:pt>
              </c:numCache>
            </c:numRef>
          </c:val>
        </c:ser>
        <c:ser>
          <c:idx val="3"/>
          <c:order val="3"/>
          <c:tx>
            <c:strRef>
              <c:f>'Response Totals'!$H$143</c:f>
              <c:strCache>
                <c:ptCount val="1"/>
                <c:pt idx="0">
                  <c:v>20-24</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Totals'!$H$144:$H$148</c:f>
              <c:numCache>
                <c:formatCode>General</c:formatCode>
                <c:ptCount val="5"/>
                <c:pt idx="0">
                  <c:v>0.0</c:v>
                </c:pt>
                <c:pt idx="1">
                  <c:v>0.0</c:v>
                </c:pt>
                <c:pt idx="2">
                  <c:v>0.0</c:v>
                </c:pt>
                <c:pt idx="3">
                  <c:v>0.0</c:v>
                </c:pt>
                <c:pt idx="4">
                  <c:v>0.0</c:v>
                </c:pt>
              </c:numCache>
            </c:numRef>
          </c:val>
        </c:ser>
        <c:ser>
          <c:idx val="4"/>
          <c:order val="4"/>
          <c:tx>
            <c:strRef>
              <c:f>'Response Totals'!$I$143</c:f>
              <c:strCache>
                <c:ptCount val="1"/>
                <c:pt idx="0">
                  <c:v>25-44</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Totals'!$I$144:$I$148</c:f>
              <c:numCache>
                <c:formatCode>General</c:formatCode>
                <c:ptCount val="5"/>
                <c:pt idx="0">
                  <c:v>0.0</c:v>
                </c:pt>
                <c:pt idx="1">
                  <c:v>0.0</c:v>
                </c:pt>
                <c:pt idx="2">
                  <c:v>0.0</c:v>
                </c:pt>
                <c:pt idx="3">
                  <c:v>0.0</c:v>
                </c:pt>
                <c:pt idx="4">
                  <c:v>0.0</c:v>
                </c:pt>
              </c:numCache>
            </c:numRef>
          </c:val>
        </c:ser>
        <c:ser>
          <c:idx val="5"/>
          <c:order val="5"/>
          <c:tx>
            <c:strRef>
              <c:f>'Response Totals'!$J$143</c:f>
              <c:strCache>
                <c:ptCount val="1"/>
                <c:pt idx="0">
                  <c:v>45-54</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Totals'!$J$144:$J$148</c:f>
              <c:numCache>
                <c:formatCode>General</c:formatCode>
                <c:ptCount val="5"/>
                <c:pt idx="0">
                  <c:v>0.0</c:v>
                </c:pt>
                <c:pt idx="1">
                  <c:v>0.0</c:v>
                </c:pt>
                <c:pt idx="2">
                  <c:v>0.0</c:v>
                </c:pt>
                <c:pt idx="3">
                  <c:v>0.0</c:v>
                </c:pt>
                <c:pt idx="4">
                  <c:v>0.0</c:v>
                </c:pt>
              </c:numCache>
            </c:numRef>
          </c:val>
        </c:ser>
        <c:ser>
          <c:idx val="6"/>
          <c:order val="6"/>
          <c:tx>
            <c:strRef>
              <c:f>'Response Totals'!$K$143</c:f>
              <c:strCache>
                <c:ptCount val="1"/>
                <c:pt idx="0">
                  <c:v>55-64</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Totals'!$K$144:$K$148</c:f>
              <c:numCache>
                <c:formatCode>General</c:formatCode>
                <c:ptCount val="5"/>
                <c:pt idx="0">
                  <c:v>0.0</c:v>
                </c:pt>
                <c:pt idx="1">
                  <c:v>0.0</c:v>
                </c:pt>
                <c:pt idx="2">
                  <c:v>0.0</c:v>
                </c:pt>
                <c:pt idx="3">
                  <c:v>0.0</c:v>
                </c:pt>
                <c:pt idx="4">
                  <c:v>0.0</c:v>
                </c:pt>
              </c:numCache>
            </c:numRef>
          </c:val>
        </c:ser>
        <c:ser>
          <c:idx val="7"/>
          <c:order val="7"/>
          <c:tx>
            <c:strRef>
              <c:f>'Response Totals'!$L$143</c:f>
              <c:strCache>
                <c:ptCount val="1"/>
                <c:pt idx="0">
                  <c:v>65-74</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Totals'!$L$144:$L$148</c:f>
              <c:numCache>
                <c:formatCode>General</c:formatCode>
                <c:ptCount val="5"/>
                <c:pt idx="0">
                  <c:v>0.0</c:v>
                </c:pt>
                <c:pt idx="1">
                  <c:v>0.0</c:v>
                </c:pt>
                <c:pt idx="2">
                  <c:v>0.0</c:v>
                </c:pt>
                <c:pt idx="3">
                  <c:v>0.0</c:v>
                </c:pt>
                <c:pt idx="4">
                  <c:v>0.0</c:v>
                </c:pt>
              </c:numCache>
            </c:numRef>
          </c:val>
        </c:ser>
        <c:ser>
          <c:idx val="8"/>
          <c:order val="8"/>
          <c:tx>
            <c:strRef>
              <c:f>'Response Totals'!$M$143</c:f>
              <c:strCache>
                <c:ptCount val="1"/>
                <c:pt idx="0">
                  <c:v>75-84</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Totals'!$M$144:$M$148</c:f>
              <c:numCache>
                <c:formatCode>General</c:formatCode>
                <c:ptCount val="5"/>
                <c:pt idx="0">
                  <c:v>0.0</c:v>
                </c:pt>
                <c:pt idx="1">
                  <c:v>0.0</c:v>
                </c:pt>
                <c:pt idx="2">
                  <c:v>0.0</c:v>
                </c:pt>
                <c:pt idx="3">
                  <c:v>0.0</c:v>
                </c:pt>
                <c:pt idx="4">
                  <c:v>0.0</c:v>
                </c:pt>
              </c:numCache>
            </c:numRef>
          </c:val>
        </c:ser>
        <c:ser>
          <c:idx val="9"/>
          <c:order val="9"/>
          <c:tx>
            <c:strRef>
              <c:f>'Response Totals'!$N$143</c:f>
              <c:strCache>
                <c:ptCount val="1"/>
                <c:pt idx="0">
                  <c:v>85+</c:v>
                </c:pt>
              </c:strCache>
            </c:strRef>
          </c:tx>
          <c:invertIfNegative val="0"/>
          <c:cat>
            <c:strRef>
              <c:f>'Response Totals'!$A$144:$A$148</c:f>
              <c:strCache>
                <c:ptCount val="5"/>
                <c:pt idx="0">
                  <c:v>Always</c:v>
                </c:pt>
                <c:pt idx="1">
                  <c:v>Sometimes</c:v>
                </c:pt>
                <c:pt idx="2">
                  <c:v>Very Little</c:v>
                </c:pt>
                <c:pt idx="3">
                  <c:v>Never</c:v>
                </c:pt>
                <c:pt idx="4">
                  <c:v>NA</c:v>
                </c:pt>
              </c:strCache>
            </c:strRef>
          </c:cat>
          <c:val>
            <c:numRef>
              <c:f>'Response Totals'!$N$144:$N$148</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75808888"/>
        <c:axId val="-2075811848"/>
      </c:barChart>
      <c:catAx>
        <c:axId val="-2075808888"/>
        <c:scaling>
          <c:orientation val="minMax"/>
        </c:scaling>
        <c:delete val="0"/>
        <c:axPos val="b"/>
        <c:majorTickMark val="out"/>
        <c:minorTickMark val="none"/>
        <c:tickLblPos val="nextTo"/>
        <c:crossAx val="-2075811848"/>
        <c:crosses val="autoZero"/>
        <c:auto val="1"/>
        <c:lblAlgn val="ctr"/>
        <c:lblOffset val="100"/>
        <c:noMultiLvlLbl val="0"/>
      </c:catAx>
      <c:valAx>
        <c:axId val="-2075811848"/>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75808888"/>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1.21 Frequency</a:t>
            </a:r>
            <a:r>
              <a:rPr lang="en-US" baseline="0"/>
              <a:t> of use of language at First Nations government activities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Totals'!$E$154</c:f>
              <c:strCache>
                <c:ptCount val="1"/>
                <c:pt idx="0">
                  <c:v>0-4</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Totals'!$E$155:$E$159</c:f>
              <c:numCache>
                <c:formatCode>General</c:formatCode>
                <c:ptCount val="5"/>
                <c:pt idx="0">
                  <c:v>0.0</c:v>
                </c:pt>
                <c:pt idx="1">
                  <c:v>0.0</c:v>
                </c:pt>
                <c:pt idx="2">
                  <c:v>0.0</c:v>
                </c:pt>
                <c:pt idx="3">
                  <c:v>0.0</c:v>
                </c:pt>
                <c:pt idx="4">
                  <c:v>0.0</c:v>
                </c:pt>
              </c:numCache>
            </c:numRef>
          </c:val>
        </c:ser>
        <c:ser>
          <c:idx val="1"/>
          <c:order val="1"/>
          <c:tx>
            <c:strRef>
              <c:f>'Response Totals'!$F$154</c:f>
              <c:strCache>
                <c:ptCount val="1"/>
                <c:pt idx="0">
                  <c:v>5-14</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Totals'!$F$155:$F$159</c:f>
              <c:numCache>
                <c:formatCode>General</c:formatCode>
                <c:ptCount val="5"/>
                <c:pt idx="0">
                  <c:v>0.0</c:v>
                </c:pt>
                <c:pt idx="1">
                  <c:v>0.0</c:v>
                </c:pt>
                <c:pt idx="2">
                  <c:v>0.0</c:v>
                </c:pt>
                <c:pt idx="3">
                  <c:v>0.0</c:v>
                </c:pt>
                <c:pt idx="4">
                  <c:v>0.0</c:v>
                </c:pt>
              </c:numCache>
            </c:numRef>
          </c:val>
        </c:ser>
        <c:ser>
          <c:idx val="2"/>
          <c:order val="2"/>
          <c:tx>
            <c:strRef>
              <c:f>'Response Totals'!$G$154</c:f>
              <c:strCache>
                <c:ptCount val="1"/>
                <c:pt idx="0">
                  <c:v>15-19</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Totals'!$G$155:$G$159</c:f>
              <c:numCache>
                <c:formatCode>General</c:formatCode>
                <c:ptCount val="5"/>
                <c:pt idx="0">
                  <c:v>0.0</c:v>
                </c:pt>
                <c:pt idx="1">
                  <c:v>0.0</c:v>
                </c:pt>
                <c:pt idx="2">
                  <c:v>0.0</c:v>
                </c:pt>
                <c:pt idx="3">
                  <c:v>0.0</c:v>
                </c:pt>
                <c:pt idx="4">
                  <c:v>0.0</c:v>
                </c:pt>
              </c:numCache>
            </c:numRef>
          </c:val>
        </c:ser>
        <c:ser>
          <c:idx val="3"/>
          <c:order val="3"/>
          <c:tx>
            <c:strRef>
              <c:f>'Response Totals'!$H$154</c:f>
              <c:strCache>
                <c:ptCount val="1"/>
                <c:pt idx="0">
                  <c:v>20-24</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Totals'!$H$155:$H$159</c:f>
              <c:numCache>
                <c:formatCode>General</c:formatCode>
                <c:ptCount val="5"/>
                <c:pt idx="0">
                  <c:v>0.0</c:v>
                </c:pt>
                <c:pt idx="1">
                  <c:v>0.0</c:v>
                </c:pt>
                <c:pt idx="2">
                  <c:v>0.0</c:v>
                </c:pt>
                <c:pt idx="3">
                  <c:v>0.0</c:v>
                </c:pt>
                <c:pt idx="4">
                  <c:v>0.0</c:v>
                </c:pt>
              </c:numCache>
            </c:numRef>
          </c:val>
        </c:ser>
        <c:ser>
          <c:idx val="4"/>
          <c:order val="4"/>
          <c:tx>
            <c:strRef>
              <c:f>'Response Totals'!$I$154</c:f>
              <c:strCache>
                <c:ptCount val="1"/>
                <c:pt idx="0">
                  <c:v>25-44</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Totals'!$I$155:$I$159</c:f>
              <c:numCache>
                <c:formatCode>General</c:formatCode>
                <c:ptCount val="5"/>
                <c:pt idx="0">
                  <c:v>0.0</c:v>
                </c:pt>
                <c:pt idx="1">
                  <c:v>0.0</c:v>
                </c:pt>
                <c:pt idx="2">
                  <c:v>0.0</c:v>
                </c:pt>
                <c:pt idx="3">
                  <c:v>0.0</c:v>
                </c:pt>
                <c:pt idx="4">
                  <c:v>0.0</c:v>
                </c:pt>
              </c:numCache>
            </c:numRef>
          </c:val>
        </c:ser>
        <c:ser>
          <c:idx val="5"/>
          <c:order val="5"/>
          <c:tx>
            <c:strRef>
              <c:f>'Response Totals'!$J$154</c:f>
              <c:strCache>
                <c:ptCount val="1"/>
                <c:pt idx="0">
                  <c:v>45-54</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Totals'!$J$155:$J$159</c:f>
              <c:numCache>
                <c:formatCode>General</c:formatCode>
                <c:ptCount val="5"/>
                <c:pt idx="0">
                  <c:v>0.0</c:v>
                </c:pt>
                <c:pt idx="1">
                  <c:v>0.0</c:v>
                </c:pt>
                <c:pt idx="2">
                  <c:v>0.0</c:v>
                </c:pt>
                <c:pt idx="3">
                  <c:v>0.0</c:v>
                </c:pt>
                <c:pt idx="4">
                  <c:v>0.0</c:v>
                </c:pt>
              </c:numCache>
            </c:numRef>
          </c:val>
        </c:ser>
        <c:ser>
          <c:idx val="6"/>
          <c:order val="6"/>
          <c:tx>
            <c:strRef>
              <c:f>'Response Totals'!$K$154</c:f>
              <c:strCache>
                <c:ptCount val="1"/>
                <c:pt idx="0">
                  <c:v>55-64</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Totals'!$K$155:$K$159</c:f>
              <c:numCache>
                <c:formatCode>General</c:formatCode>
                <c:ptCount val="5"/>
                <c:pt idx="0">
                  <c:v>0.0</c:v>
                </c:pt>
                <c:pt idx="1">
                  <c:v>0.0</c:v>
                </c:pt>
                <c:pt idx="2">
                  <c:v>0.0</c:v>
                </c:pt>
                <c:pt idx="3">
                  <c:v>0.0</c:v>
                </c:pt>
                <c:pt idx="4">
                  <c:v>0.0</c:v>
                </c:pt>
              </c:numCache>
            </c:numRef>
          </c:val>
        </c:ser>
        <c:ser>
          <c:idx val="7"/>
          <c:order val="7"/>
          <c:tx>
            <c:strRef>
              <c:f>'Response Totals'!$L$154</c:f>
              <c:strCache>
                <c:ptCount val="1"/>
                <c:pt idx="0">
                  <c:v>65-74</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Totals'!$L$155:$L$159</c:f>
              <c:numCache>
                <c:formatCode>General</c:formatCode>
                <c:ptCount val="5"/>
                <c:pt idx="0">
                  <c:v>0.0</c:v>
                </c:pt>
                <c:pt idx="1">
                  <c:v>0.0</c:v>
                </c:pt>
                <c:pt idx="2">
                  <c:v>0.0</c:v>
                </c:pt>
                <c:pt idx="3">
                  <c:v>0.0</c:v>
                </c:pt>
                <c:pt idx="4">
                  <c:v>0.0</c:v>
                </c:pt>
              </c:numCache>
            </c:numRef>
          </c:val>
        </c:ser>
        <c:ser>
          <c:idx val="8"/>
          <c:order val="8"/>
          <c:tx>
            <c:strRef>
              <c:f>'Response Totals'!$M$154</c:f>
              <c:strCache>
                <c:ptCount val="1"/>
                <c:pt idx="0">
                  <c:v>75-84</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Totals'!$M$155:$M$159</c:f>
              <c:numCache>
                <c:formatCode>General</c:formatCode>
                <c:ptCount val="5"/>
                <c:pt idx="0">
                  <c:v>0.0</c:v>
                </c:pt>
                <c:pt idx="1">
                  <c:v>0.0</c:v>
                </c:pt>
                <c:pt idx="2">
                  <c:v>0.0</c:v>
                </c:pt>
                <c:pt idx="3">
                  <c:v>0.0</c:v>
                </c:pt>
                <c:pt idx="4">
                  <c:v>0.0</c:v>
                </c:pt>
              </c:numCache>
            </c:numRef>
          </c:val>
        </c:ser>
        <c:ser>
          <c:idx val="9"/>
          <c:order val="9"/>
          <c:tx>
            <c:strRef>
              <c:f>'Response Totals'!$N$154</c:f>
              <c:strCache>
                <c:ptCount val="1"/>
                <c:pt idx="0">
                  <c:v>85+</c:v>
                </c:pt>
              </c:strCache>
            </c:strRef>
          </c:tx>
          <c:invertIfNegative val="0"/>
          <c:cat>
            <c:strRef>
              <c:f>'Response Totals'!$A$155:$A$159</c:f>
              <c:strCache>
                <c:ptCount val="5"/>
                <c:pt idx="0">
                  <c:v>Always</c:v>
                </c:pt>
                <c:pt idx="1">
                  <c:v>Sometimes</c:v>
                </c:pt>
                <c:pt idx="2">
                  <c:v>Very Little</c:v>
                </c:pt>
                <c:pt idx="3">
                  <c:v>Never</c:v>
                </c:pt>
                <c:pt idx="4">
                  <c:v>NA</c:v>
                </c:pt>
              </c:strCache>
            </c:strRef>
          </c:cat>
          <c:val>
            <c:numRef>
              <c:f>'Response Totals'!$N$155:$N$159</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75874696"/>
        <c:axId val="-2075877656"/>
      </c:barChart>
      <c:catAx>
        <c:axId val="-2075874696"/>
        <c:scaling>
          <c:orientation val="minMax"/>
        </c:scaling>
        <c:delete val="0"/>
        <c:axPos val="b"/>
        <c:majorTickMark val="out"/>
        <c:minorTickMark val="none"/>
        <c:tickLblPos val="nextTo"/>
        <c:crossAx val="-2075877656"/>
        <c:crosses val="autoZero"/>
        <c:auto val="1"/>
        <c:lblAlgn val="ctr"/>
        <c:lblOffset val="100"/>
        <c:noMultiLvlLbl val="0"/>
      </c:catAx>
      <c:valAx>
        <c:axId val="-2075877656"/>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75874696"/>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2.1 Interest in learning the language</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Totals'!$E$165</c:f>
              <c:strCache>
                <c:ptCount val="1"/>
                <c:pt idx="0">
                  <c:v>0-4</c:v>
                </c:pt>
              </c:strCache>
            </c:strRef>
          </c:tx>
          <c:invertIfNegative val="0"/>
          <c:cat>
            <c:strRef>
              <c:f>'Response Totals'!$A$166:$A$168</c:f>
              <c:strCache>
                <c:ptCount val="3"/>
                <c:pt idx="0">
                  <c:v>Yes</c:v>
                </c:pt>
                <c:pt idx="1">
                  <c:v>No</c:v>
                </c:pt>
                <c:pt idx="2">
                  <c:v>Not Sure</c:v>
                </c:pt>
              </c:strCache>
            </c:strRef>
          </c:cat>
          <c:val>
            <c:numRef>
              <c:f>'Response Totals'!$E$166:$E$168</c:f>
              <c:numCache>
                <c:formatCode>General</c:formatCode>
                <c:ptCount val="3"/>
                <c:pt idx="0">
                  <c:v>0.0</c:v>
                </c:pt>
                <c:pt idx="1">
                  <c:v>0.0</c:v>
                </c:pt>
                <c:pt idx="2">
                  <c:v>0.0</c:v>
                </c:pt>
              </c:numCache>
            </c:numRef>
          </c:val>
        </c:ser>
        <c:ser>
          <c:idx val="1"/>
          <c:order val="1"/>
          <c:tx>
            <c:strRef>
              <c:f>'Response Totals'!$F$165</c:f>
              <c:strCache>
                <c:ptCount val="1"/>
                <c:pt idx="0">
                  <c:v>5-14</c:v>
                </c:pt>
              </c:strCache>
            </c:strRef>
          </c:tx>
          <c:invertIfNegative val="0"/>
          <c:cat>
            <c:strRef>
              <c:f>'Response Totals'!$A$166:$A$168</c:f>
              <c:strCache>
                <c:ptCount val="3"/>
                <c:pt idx="0">
                  <c:v>Yes</c:v>
                </c:pt>
                <c:pt idx="1">
                  <c:v>No</c:v>
                </c:pt>
                <c:pt idx="2">
                  <c:v>Not Sure</c:v>
                </c:pt>
              </c:strCache>
            </c:strRef>
          </c:cat>
          <c:val>
            <c:numRef>
              <c:f>'Response Totals'!$F$166:$F$168</c:f>
              <c:numCache>
                <c:formatCode>General</c:formatCode>
                <c:ptCount val="3"/>
                <c:pt idx="0">
                  <c:v>0.0</c:v>
                </c:pt>
                <c:pt idx="1">
                  <c:v>0.0</c:v>
                </c:pt>
                <c:pt idx="2">
                  <c:v>0.0</c:v>
                </c:pt>
              </c:numCache>
            </c:numRef>
          </c:val>
        </c:ser>
        <c:ser>
          <c:idx val="2"/>
          <c:order val="2"/>
          <c:tx>
            <c:strRef>
              <c:f>'Response Totals'!$G$165</c:f>
              <c:strCache>
                <c:ptCount val="1"/>
                <c:pt idx="0">
                  <c:v>15-19</c:v>
                </c:pt>
              </c:strCache>
            </c:strRef>
          </c:tx>
          <c:invertIfNegative val="0"/>
          <c:cat>
            <c:strRef>
              <c:f>'Response Totals'!$A$166:$A$168</c:f>
              <c:strCache>
                <c:ptCount val="3"/>
                <c:pt idx="0">
                  <c:v>Yes</c:v>
                </c:pt>
                <c:pt idx="1">
                  <c:v>No</c:v>
                </c:pt>
                <c:pt idx="2">
                  <c:v>Not Sure</c:v>
                </c:pt>
              </c:strCache>
            </c:strRef>
          </c:cat>
          <c:val>
            <c:numRef>
              <c:f>'Response Totals'!$G$166:$G$168</c:f>
              <c:numCache>
                <c:formatCode>General</c:formatCode>
                <c:ptCount val="3"/>
                <c:pt idx="0">
                  <c:v>0.0</c:v>
                </c:pt>
                <c:pt idx="1">
                  <c:v>0.0</c:v>
                </c:pt>
                <c:pt idx="2">
                  <c:v>0.0</c:v>
                </c:pt>
              </c:numCache>
            </c:numRef>
          </c:val>
        </c:ser>
        <c:ser>
          <c:idx val="3"/>
          <c:order val="3"/>
          <c:tx>
            <c:strRef>
              <c:f>'Response Totals'!$H$165</c:f>
              <c:strCache>
                <c:ptCount val="1"/>
                <c:pt idx="0">
                  <c:v>20-24</c:v>
                </c:pt>
              </c:strCache>
            </c:strRef>
          </c:tx>
          <c:invertIfNegative val="0"/>
          <c:cat>
            <c:strRef>
              <c:f>'Response Totals'!$A$166:$A$168</c:f>
              <c:strCache>
                <c:ptCount val="3"/>
                <c:pt idx="0">
                  <c:v>Yes</c:v>
                </c:pt>
                <c:pt idx="1">
                  <c:v>No</c:v>
                </c:pt>
                <c:pt idx="2">
                  <c:v>Not Sure</c:v>
                </c:pt>
              </c:strCache>
            </c:strRef>
          </c:cat>
          <c:val>
            <c:numRef>
              <c:f>'Response Totals'!$H$166:$H$168</c:f>
              <c:numCache>
                <c:formatCode>General</c:formatCode>
                <c:ptCount val="3"/>
                <c:pt idx="0">
                  <c:v>0.0</c:v>
                </c:pt>
                <c:pt idx="1">
                  <c:v>0.0</c:v>
                </c:pt>
                <c:pt idx="2">
                  <c:v>0.0</c:v>
                </c:pt>
              </c:numCache>
            </c:numRef>
          </c:val>
        </c:ser>
        <c:ser>
          <c:idx val="4"/>
          <c:order val="4"/>
          <c:tx>
            <c:strRef>
              <c:f>'Response Totals'!$I$165</c:f>
              <c:strCache>
                <c:ptCount val="1"/>
                <c:pt idx="0">
                  <c:v>25-44</c:v>
                </c:pt>
              </c:strCache>
            </c:strRef>
          </c:tx>
          <c:invertIfNegative val="0"/>
          <c:cat>
            <c:strRef>
              <c:f>'Response Totals'!$A$166:$A$168</c:f>
              <c:strCache>
                <c:ptCount val="3"/>
                <c:pt idx="0">
                  <c:v>Yes</c:v>
                </c:pt>
                <c:pt idx="1">
                  <c:v>No</c:v>
                </c:pt>
                <c:pt idx="2">
                  <c:v>Not Sure</c:v>
                </c:pt>
              </c:strCache>
            </c:strRef>
          </c:cat>
          <c:val>
            <c:numRef>
              <c:f>'Response Totals'!$I$166:$I$168</c:f>
              <c:numCache>
                <c:formatCode>General</c:formatCode>
                <c:ptCount val="3"/>
                <c:pt idx="0">
                  <c:v>0.0</c:v>
                </c:pt>
                <c:pt idx="1">
                  <c:v>0.0</c:v>
                </c:pt>
                <c:pt idx="2">
                  <c:v>0.0</c:v>
                </c:pt>
              </c:numCache>
            </c:numRef>
          </c:val>
        </c:ser>
        <c:ser>
          <c:idx val="5"/>
          <c:order val="5"/>
          <c:tx>
            <c:strRef>
              <c:f>'Response Totals'!$J$165</c:f>
              <c:strCache>
                <c:ptCount val="1"/>
                <c:pt idx="0">
                  <c:v>45-54</c:v>
                </c:pt>
              </c:strCache>
            </c:strRef>
          </c:tx>
          <c:invertIfNegative val="0"/>
          <c:cat>
            <c:strRef>
              <c:f>'Response Totals'!$A$166:$A$168</c:f>
              <c:strCache>
                <c:ptCount val="3"/>
                <c:pt idx="0">
                  <c:v>Yes</c:v>
                </c:pt>
                <c:pt idx="1">
                  <c:v>No</c:v>
                </c:pt>
                <c:pt idx="2">
                  <c:v>Not Sure</c:v>
                </c:pt>
              </c:strCache>
            </c:strRef>
          </c:cat>
          <c:val>
            <c:numRef>
              <c:f>'Response Totals'!$J$166:$J$168</c:f>
              <c:numCache>
                <c:formatCode>General</c:formatCode>
                <c:ptCount val="3"/>
                <c:pt idx="0">
                  <c:v>0.0</c:v>
                </c:pt>
                <c:pt idx="1">
                  <c:v>0.0</c:v>
                </c:pt>
                <c:pt idx="2">
                  <c:v>0.0</c:v>
                </c:pt>
              </c:numCache>
            </c:numRef>
          </c:val>
        </c:ser>
        <c:ser>
          <c:idx val="6"/>
          <c:order val="6"/>
          <c:tx>
            <c:strRef>
              <c:f>'Response Totals'!$K$165</c:f>
              <c:strCache>
                <c:ptCount val="1"/>
                <c:pt idx="0">
                  <c:v>55-64</c:v>
                </c:pt>
              </c:strCache>
            </c:strRef>
          </c:tx>
          <c:invertIfNegative val="0"/>
          <c:cat>
            <c:strRef>
              <c:f>'Response Totals'!$A$166:$A$168</c:f>
              <c:strCache>
                <c:ptCount val="3"/>
                <c:pt idx="0">
                  <c:v>Yes</c:v>
                </c:pt>
                <c:pt idx="1">
                  <c:v>No</c:v>
                </c:pt>
                <c:pt idx="2">
                  <c:v>Not Sure</c:v>
                </c:pt>
              </c:strCache>
            </c:strRef>
          </c:cat>
          <c:val>
            <c:numRef>
              <c:f>'Response Totals'!$K$166:$K$168</c:f>
              <c:numCache>
                <c:formatCode>General</c:formatCode>
                <c:ptCount val="3"/>
                <c:pt idx="0">
                  <c:v>0.0</c:v>
                </c:pt>
                <c:pt idx="1">
                  <c:v>0.0</c:v>
                </c:pt>
                <c:pt idx="2">
                  <c:v>0.0</c:v>
                </c:pt>
              </c:numCache>
            </c:numRef>
          </c:val>
        </c:ser>
        <c:ser>
          <c:idx val="7"/>
          <c:order val="7"/>
          <c:tx>
            <c:strRef>
              <c:f>'Response Totals'!$L$165</c:f>
              <c:strCache>
                <c:ptCount val="1"/>
                <c:pt idx="0">
                  <c:v>65-74</c:v>
                </c:pt>
              </c:strCache>
            </c:strRef>
          </c:tx>
          <c:invertIfNegative val="0"/>
          <c:cat>
            <c:strRef>
              <c:f>'Response Totals'!$A$166:$A$168</c:f>
              <c:strCache>
                <c:ptCount val="3"/>
                <c:pt idx="0">
                  <c:v>Yes</c:v>
                </c:pt>
                <c:pt idx="1">
                  <c:v>No</c:v>
                </c:pt>
                <c:pt idx="2">
                  <c:v>Not Sure</c:v>
                </c:pt>
              </c:strCache>
            </c:strRef>
          </c:cat>
          <c:val>
            <c:numRef>
              <c:f>'Response Totals'!$L$166:$L$168</c:f>
              <c:numCache>
                <c:formatCode>General</c:formatCode>
                <c:ptCount val="3"/>
                <c:pt idx="0">
                  <c:v>0.0</c:v>
                </c:pt>
                <c:pt idx="1">
                  <c:v>0.0</c:v>
                </c:pt>
                <c:pt idx="2">
                  <c:v>0.0</c:v>
                </c:pt>
              </c:numCache>
            </c:numRef>
          </c:val>
        </c:ser>
        <c:ser>
          <c:idx val="8"/>
          <c:order val="8"/>
          <c:tx>
            <c:strRef>
              <c:f>'Response Totals'!$M$165</c:f>
              <c:strCache>
                <c:ptCount val="1"/>
                <c:pt idx="0">
                  <c:v>75-84</c:v>
                </c:pt>
              </c:strCache>
            </c:strRef>
          </c:tx>
          <c:invertIfNegative val="0"/>
          <c:cat>
            <c:strRef>
              <c:f>'Response Totals'!$A$166:$A$168</c:f>
              <c:strCache>
                <c:ptCount val="3"/>
                <c:pt idx="0">
                  <c:v>Yes</c:v>
                </c:pt>
                <c:pt idx="1">
                  <c:v>No</c:v>
                </c:pt>
                <c:pt idx="2">
                  <c:v>Not Sure</c:v>
                </c:pt>
              </c:strCache>
            </c:strRef>
          </c:cat>
          <c:val>
            <c:numRef>
              <c:f>'Response Totals'!$M$166:$M$168</c:f>
              <c:numCache>
                <c:formatCode>General</c:formatCode>
                <c:ptCount val="3"/>
                <c:pt idx="0">
                  <c:v>0.0</c:v>
                </c:pt>
                <c:pt idx="1">
                  <c:v>0.0</c:v>
                </c:pt>
                <c:pt idx="2">
                  <c:v>0.0</c:v>
                </c:pt>
              </c:numCache>
            </c:numRef>
          </c:val>
        </c:ser>
        <c:ser>
          <c:idx val="9"/>
          <c:order val="9"/>
          <c:tx>
            <c:strRef>
              <c:f>'Response Totals'!$N$165</c:f>
              <c:strCache>
                <c:ptCount val="1"/>
                <c:pt idx="0">
                  <c:v>85+</c:v>
                </c:pt>
              </c:strCache>
            </c:strRef>
          </c:tx>
          <c:invertIfNegative val="0"/>
          <c:cat>
            <c:strRef>
              <c:f>'Response Totals'!$A$166:$A$168</c:f>
              <c:strCache>
                <c:ptCount val="3"/>
                <c:pt idx="0">
                  <c:v>Yes</c:v>
                </c:pt>
                <c:pt idx="1">
                  <c:v>No</c:v>
                </c:pt>
                <c:pt idx="2">
                  <c:v>Not Sure</c:v>
                </c:pt>
              </c:strCache>
            </c:strRef>
          </c:cat>
          <c:val>
            <c:numRef>
              <c:f>'Response Totals'!$N$166:$N$168</c:f>
              <c:numCache>
                <c:formatCode>General</c:formatCode>
                <c:ptCount val="3"/>
                <c:pt idx="0">
                  <c:v>0.0</c:v>
                </c:pt>
                <c:pt idx="1">
                  <c:v>0.0</c:v>
                </c:pt>
                <c:pt idx="2">
                  <c:v>0.0</c:v>
                </c:pt>
              </c:numCache>
            </c:numRef>
          </c:val>
        </c:ser>
        <c:dLbls>
          <c:showLegendKey val="0"/>
          <c:showVal val="0"/>
          <c:showCatName val="0"/>
          <c:showSerName val="0"/>
          <c:showPercent val="0"/>
          <c:showBubbleSize val="0"/>
        </c:dLbls>
        <c:gapWidth val="150"/>
        <c:axId val="-2094859192"/>
        <c:axId val="-2094867528"/>
      </c:barChart>
      <c:catAx>
        <c:axId val="-2094859192"/>
        <c:scaling>
          <c:orientation val="minMax"/>
        </c:scaling>
        <c:delete val="0"/>
        <c:axPos val="b"/>
        <c:majorTickMark val="out"/>
        <c:minorTickMark val="none"/>
        <c:tickLblPos val="nextTo"/>
        <c:crossAx val="-2094867528"/>
        <c:crosses val="autoZero"/>
        <c:auto val="1"/>
        <c:lblAlgn val="ctr"/>
        <c:lblOffset val="100"/>
        <c:noMultiLvlLbl val="0"/>
      </c:catAx>
      <c:valAx>
        <c:axId val="-2094867528"/>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94859192"/>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2.1 Primary (1st) Language learning</a:t>
            </a:r>
            <a:r>
              <a:rPr lang="en-US" baseline="0"/>
              <a:t> reason </a:t>
            </a:r>
            <a:endParaRPr lang="en-US"/>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strRef>
              <c:f>'Response Totals'!$E$171</c:f>
              <c:strCache>
                <c:ptCount val="1"/>
                <c:pt idx="0">
                  <c:v>0-4</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Totals'!$E$172:$E$185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1"/>
          <c:order val="1"/>
          <c:tx>
            <c:strRef>
              <c:f>'Response Totals'!$F$171</c:f>
              <c:strCache>
                <c:ptCount val="1"/>
                <c:pt idx="0">
                  <c:v>5-14</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Totals'!$F$172:$F$185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2"/>
          <c:order val="2"/>
          <c:tx>
            <c:strRef>
              <c:f>'Response Totals'!$G$171</c:f>
              <c:strCache>
                <c:ptCount val="1"/>
                <c:pt idx="0">
                  <c:v>15-19</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Totals'!$G$172:$G$185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3"/>
          <c:order val="3"/>
          <c:tx>
            <c:strRef>
              <c:f>'Response Totals'!$H$171</c:f>
              <c:strCache>
                <c:ptCount val="1"/>
                <c:pt idx="0">
                  <c:v>20-24</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Totals'!$H$172:$H$185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4"/>
          <c:order val="4"/>
          <c:tx>
            <c:strRef>
              <c:f>'Response Totals'!$I$171</c:f>
              <c:strCache>
                <c:ptCount val="1"/>
                <c:pt idx="0">
                  <c:v>25-44</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Totals'!$I$172:$I$185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5"/>
          <c:order val="5"/>
          <c:tx>
            <c:strRef>
              <c:f>'Response Totals'!$J$171</c:f>
              <c:strCache>
                <c:ptCount val="1"/>
                <c:pt idx="0">
                  <c:v>45-54</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Totals'!$J$172:$J$185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6"/>
          <c:order val="6"/>
          <c:tx>
            <c:strRef>
              <c:f>'Response Totals'!$K$171</c:f>
              <c:strCache>
                <c:ptCount val="1"/>
                <c:pt idx="0">
                  <c:v>55-64</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Totals'!$K$172:$K$185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7"/>
          <c:order val="7"/>
          <c:tx>
            <c:strRef>
              <c:f>'Response Totals'!$L$171</c:f>
              <c:strCache>
                <c:ptCount val="1"/>
                <c:pt idx="0">
                  <c:v>65-74</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Totals'!$L$172:$L$185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8"/>
          <c:order val="8"/>
          <c:tx>
            <c:strRef>
              <c:f>'Response Totals'!$M$171</c:f>
              <c:strCache>
                <c:ptCount val="1"/>
                <c:pt idx="0">
                  <c:v>75-84</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Totals'!$M$172:$M$185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ser>
          <c:idx val="9"/>
          <c:order val="9"/>
          <c:tx>
            <c:strRef>
              <c:f>'Response Totals'!$N$171</c:f>
              <c:strCache>
                <c:ptCount val="1"/>
                <c:pt idx="0">
                  <c:v>85+</c:v>
                </c:pt>
              </c:strCache>
            </c:strRef>
          </c:tx>
          <c:invertIfNegative val="0"/>
          <c:cat>
            <c:strRef>
              <c:f>'Response Totals'!$A$172:$A$185</c:f>
              <c:strCache>
                <c:ptCount val="14"/>
                <c:pt idx="0">
                  <c:v>Culture</c:v>
                </c:pt>
                <c:pt idx="1">
                  <c:v>Ancestors</c:v>
                </c:pt>
                <c:pt idx="2">
                  <c:v>Family</c:v>
                </c:pt>
                <c:pt idx="3">
                  <c:v>Friends</c:v>
                </c:pt>
                <c:pt idx="4">
                  <c:v>Elders</c:v>
                </c:pt>
                <c:pt idx="5">
                  <c:v>Community</c:v>
                </c:pt>
                <c:pt idx="6">
                  <c:v>Ceremony</c:v>
                </c:pt>
                <c:pt idx="7">
                  <c:v>Workplace</c:v>
                </c:pt>
                <c:pt idx="8">
                  <c:v>Knowledge</c:v>
                </c:pt>
                <c:pt idx="9">
                  <c:v>Nation</c:v>
                </c:pt>
                <c:pt idx="10">
                  <c:v>Read</c:v>
                </c:pt>
                <c:pt idx="11">
                  <c:v>Understand</c:v>
                </c:pt>
                <c:pt idx="12">
                  <c:v>Alive</c:v>
                </c:pt>
                <c:pt idx="13">
                  <c:v>Other</c:v>
                </c:pt>
              </c:strCache>
            </c:strRef>
          </c:cat>
          <c:val>
            <c:numRef>
              <c:f>'Response Totals'!$N$172:$N$185</c:f>
              <c:numCache>
                <c:formatCode>General</c:formatCode>
                <c:ptCount val="1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numCache>
            </c:numRef>
          </c:val>
        </c:ser>
        <c:dLbls>
          <c:showLegendKey val="0"/>
          <c:showVal val="0"/>
          <c:showCatName val="0"/>
          <c:showSerName val="0"/>
          <c:showPercent val="0"/>
          <c:showBubbleSize val="0"/>
        </c:dLbls>
        <c:gapWidth val="150"/>
        <c:axId val="-2086556648"/>
        <c:axId val="-2086548792"/>
      </c:barChart>
      <c:catAx>
        <c:axId val="-2086556648"/>
        <c:scaling>
          <c:orientation val="minMax"/>
        </c:scaling>
        <c:delete val="0"/>
        <c:axPos val="b"/>
        <c:majorTickMark val="out"/>
        <c:minorTickMark val="none"/>
        <c:tickLblPos val="nextTo"/>
        <c:crossAx val="-2086548792"/>
        <c:crosses val="autoZero"/>
        <c:auto val="1"/>
        <c:lblAlgn val="ctr"/>
        <c:lblOffset val="100"/>
        <c:noMultiLvlLbl val="0"/>
      </c:catAx>
      <c:valAx>
        <c:axId val="-2086548792"/>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6556648"/>
        <c:crosses val="autoZero"/>
        <c:crossBetween val="between"/>
        <c:majorUnit val="1.0"/>
        <c:minorUnit val="1.0"/>
      </c:valAx>
    </c:plotArea>
    <c:legend>
      <c:legendPos val="b"/>
      <c:overlay val="0"/>
    </c:legend>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v>1.2 How well can you understand the language?</c:v>
          </c:tx>
          <c:invertIfNegative val="0"/>
          <c:dLbls>
            <c:showLegendKey val="0"/>
            <c:showVal val="1"/>
            <c:showCatName val="0"/>
            <c:showSerName val="0"/>
            <c:showPercent val="0"/>
            <c:showBubbleSize val="0"/>
            <c:showLeaderLines val="0"/>
          </c:dLbls>
          <c:cat>
            <c:strRef>
              <c:f>'Response Totals'!$A$30:$A$33</c:f>
              <c:strCache>
                <c:ptCount val="4"/>
                <c:pt idx="0">
                  <c:v>Very well</c:v>
                </c:pt>
                <c:pt idx="1">
                  <c:v>Understand most</c:v>
                </c:pt>
                <c:pt idx="2">
                  <c:v>Understand some</c:v>
                </c:pt>
                <c:pt idx="3">
                  <c:v>Not at all</c:v>
                </c:pt>
              </c:strCache>
            </c:strRef>
          </c:cat>
          <c:val>
            <c:numRef>
              <c:f>'Response Totals'!$B$30:$B$33</c:f>
              <c:numCache>
                <c:formatCode>General</c:formatCode>
                <c:ptCount val="4"/>
                <c:pt idx="0">
                  <c:v>0.0</c:v>
                </c:pt>
                <c:pt idx="1">
                  <c:v>0.0</c:v>
                </c:pt>
                <c:pt idx="2">
                  <c:v>0.0</c:v>
                </c:pt>
                <c:pt idx="3">
                  <c:v>0.0</c:v>
                </c:pt>
              </c:numCache>
            </c:numRef>
          </c:val>
        </c:ser>
        <c:dLbls>
          <c:showLegendKey val="0"/>
          <c:showVal val="0"/>
          <c:showCatName val="0"/>
          <c:showSerName val="0"/>
          <c:showPercent val="0"/>
          <c:showBubbleSize val="0"/>
        </c:dLbls>
        <c:gapWidth val="150"/>
        <c:axId val="-2085677352"/>
        <c:axId val="-2085680440"/>
      </c:barChart>
      <c:catAx>
        <c:axId val="-2085677352"/>
        <c:scaling>
          <c:orientation val="minMax"/>
        </c:scaling>
        <c:delete val="0"/>
        <c:axPos val="b"/>
        <c:majorTickMark val="out"/>
        <c:minorTickMark val="none"/>
        <c:tickLblPos val="nextTo"/>
        <c:crossAx val="-2085680440"/>
        <c:crosses val="autoZero"/>
        <c:auto val="1"/>
        <c:lblAlgn val="ctr"/>
        <c:lblOffset val="100"/>
        <c:noMultiLvlLbl val="0"/>
      </c:catAx>
      <c:valAx>
        <c:axId val="-2085680440"/>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5677352"/>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1.3 Are you currently learning the</a:t>
            </a:r>
            <a:r>
              <a:rPr lang="en-US" baseline="0"/>
              <a:t> language?</a:t>
            </a:r>
            <a:endParaRPr lang="en-US"/>
          </a:p>
        </c:rich>
      </c:tx>
      <c:overlay val="0"/>
    </c:title>
    <c:autoTitleDeleted val="0"/>
    <c:plotArea>
      <c:layout/>
      <c:doughnutChart>
        <c:varyColors val="1"/>
        <c:ser>
          <c:idx val="0"/>
          <c:order val="0"/>
          <c:tx>
            <c:v>1.3 Number currently learning or not learning the language</c:v>
          </c:tx>
          <c:dLbls>
            <c:showLegendKey val="0"/>
            <c:showVal val="1"/>
            <c:showCatName val="0"/>
            <c:showSerName val="0"/>
            <c:showPercent val="0"/>
            <c:showBubbleSize val="0"/>
            <c:showLeaderLines val="1"/>
          </c:dLbls>
          <c:cat>
            <c:strRef>
              <c:f>'Response Totals'!$A$37:$A$38</c:f>
              <c:strCache>
                <c:ptCount val="2"/>
                <c:pt idx="0">
                  <c:v>Yes</c:v>
                </c:pt>
                <c:pt idx="1">
                  <c:v>No</c:v>
                </c:pt>
              </c:strCache>
            </c:strRef>
          </c:cat>
          <c:val>
            <c:numRef>
              <c:f>'Response Totals'!$B$37:$B$38</c:f>
              <c:numCache>
                <c:formatCode>General</c:formatCode>
                <c:ptCount val="2"/>
                <c:pt idx="0">
                  <c:v>0.0</c:v>
                </c:pt>
                <c:pt idx="1">
                  <c:v>0.0</c:v>
                </c:pt>
              </c:numCache>
            </c:numRef>
          </c:val>
        </c:ser>
        <c:dLbls>
          <c:showLegendKey val="0"/>
          <c:showVal val="0"/>
          <c:showCatName val="0"/>
          <c:showSerName val="0"/>
          <c:showPercent val="0"/>
          <c:showBubbleSize val="0"/>
          <c:showLeaderLines val="1"/>
        </c:dLbls>
        <c:firstSliceAng val="0"/>
        <c:holeSize val="50"/>
      </c:doughnutChart>
    </c:plotArea>
    <c:legend>
      <c:legendPos val="t"/>
      <c:overlay val="0"/>
      <c:txPr>
        <a:bodyPr/>
        <a:lstStyle/>
        <a:p>
          <a:pPr>
            <a:defRPr sz="1500"/>
          </a:pPr>
          <a:endParaRPr lang="en-US"/>
        </a:p>
      </c:txPr>
    </c:legend>
    <c:plotVisOnly val="1"/>
    <c:dispBlanksAs val="gap"/>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v>1.4 Estimated number of spoken words in the language</c:v>
          </c:tx>
          <c:invertIfNegative val="0"/>
          <c:dLbls>
            <c:showLegendKey val="0"/>
            <c:showVal val="1"/>
            <c:showCatName val="0"/>
            <c:showSerName val="0"/>
            <c:showPercent val="0"/>
            <c:showBubbleSize val="0"/>
            <c:showLeaderLines val="0"/>
          </c:dLbls>
          <c:cat>
            <c:strRef>
              <c:f>'Response Totals'!$A$42:$A$49</c:f>
              <c:strCache>
                <c:ptCount val="8"/>
                <c:pt idx="0">
                  <c:v>0</c:v>
                </c:pt>
                <c:pt idx="1">
                  <c:v>0-20</c:v>
                </c:pt>
                <c:pt idx="2">
                  <c:v>21-40</c:v>
                </c:pt>
                <c:pt idx="3">
                  <c:v>41-100</c:v>
                </c:pt>
                <c:pt idx="4">
                  <c:v>101-200</c:v>
                </c:pt>
                <c:pt idx="5">
                  <c:v>201-300</c:v>
                </c:pt>
                <c:pt idx="6">
                  <c:v>301-400</c:v>
                </c:pt>
                <c:pt idx="7">
                  <c:v>Over 400</c:v>
                </c:pt>
              </c:strCache>
            </c:strRef>
          </c:cat>
          <c:val>
            <c:numRef>
              <c:f>'Response Totals'!$B$42:$B$49</c:f>
              <c:numCache>
                <c:formatCode>General</c:formatCode>
                <c:ptCount val="8"/>
                <c:pt idx="0">
                  <c:v>0.0</c:v>
                </c:pt>
                <c:pt idx="1">
                  <c:v>0.0</c:v>
                </c:pt>
                <c:pt idx="2">
                  <c:v>0.0</c:v>
                </c:pt>
                <c:pt idx="3">
                  <c:v>0.0</c:v>
                </c:pt>
                <c:pt idx="4">
                  <c:v>0.0</c:v>
                </c:pt>
                <c:pt idx="5">
                  <c:v>0.0</c:v>
                </c:pt>
                <c:pt idx="6">
                  <c:v>0.0</c:v>
                </c:pt>
                <c:pt idx="7">
                  <c:v>0.0</c:v>
                </c:pt>
              </c:numCache>
            </c:numRef>
          </c:val>
        </c:ser>
        <c:dLbls>
          <c:showLegendKey val="0"/>
          <c:showVal val="0"/>
          <c:showCatName val="0"/>
          <c:showSerName val="0"/>
          <c:showPercent val="0"/>
          <c:showBubbleSize val="0"/>
        </c:dLbls>
        <c:gapWidth val="150"/>
        <c:axId val="-2080369256"/>
        <c:axId val="-2080280040"/>
      </c:barChart>
      <c:catAx>
        <c:axId val="-2080369256"/>
        <c:scaling>
          <c:orientation val="minMax"/>
        </c:scaling>
        <c:delete val="0"/>
        <c:axPos val="b"/>
        <c:majorTickMark val="out"/>
        <c:minorTickMark val="none"/>
        <c:tickLblPos val="nextTo"/>
        <c:crossAx val="-2080280040"/>
        <c:crosses val="autoZero"/>
        <c:auto val="1"/>
        <c:lblAlgn val="ctr"/>
        <c:lblOffset val="100"/>
        <c:noMultiLvlLbl val="0"/>
      </c:catAx>
      <c:valAx>
        <c:axId val="-2080280040"/>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0369256"/>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1.5 Estimated number of words understood in the language</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v>Estimated of number of words understood in the language</c:v>
          </c:tx>
          <c:invertIfNegative val="0"/>
          <c:dLbls>
            <c:showLegendKey val="0"/>
            <c:showVal val="1"/>
            <c:showCatName val="0"/>
            <c:showSerName val="0"/>
            <c:showPercent val="0"/>
            <c:showBubbleSize val="0"/>
            <c:showLeaderLines val="0"/>
          </c:dLbls>
          <c:cat>
            <c:strRef>
              <c:f>'Response Totals'!$A$53:$A$60</c:f>
              <c:strCache>
                <c:ptCount val="8"/>
                <c:pt idx="0">
                  <c:v>0</c:v>
                </c:pt>
                <c:pt idx="1">
                  <c:v>0-20</c:v>
                </c:pt>
                <c:pt idx="2">
                  <c:v>21-40</c:v>
                </c:pt>
                <c:pt idx="3">
                  <c:v>41-100</c:v>
                </c:pt>
                <c:pt idx="4">
                  <c:v>101-200</c:v>
                </c:pt>
                <c:pt idx="5">
                  <c:v>201-300</c:v>
                </c:pt>
                <c:pt idx="6">
                  <c:v>301-400</c:v>
                </c:pt>
                <c:pt idx="7">
                  <c:v>Over 400</c:v>
                </c:pt>
              </c:strCache>
            </c:strRef>
          </c:cat>
          <c:val>
            <c:numRef>
              <c:f>'Response Totals'!$B$53:$B$60</c:f>
              <c:numCache>
                <c:formatCode>General</c:formatCode>
                <c:ptCount val="8"/>
                <c:pt idx="0">
                  <c:v>0.0</c:v>
                </c:pt>
                <c:pt idx="1">
                  <c:v>0.0</c:v>
                </c:pt>
                <c:pt idx="2">
                  <c:v>0.0</c:v>
                </c:pt>
                <c:pt idx="3">
                  <c:v>0.0</c:v>
                </c:pt>
                <c:pt idx="4">
                  <c:v>0.0</c:v>
                </c:pt>
                <c:pt idx="5">
                  <c:v>0.0</c:v>
                </c:pt>
                <c:pt idx="6">
                  <c:v>0.0</c:v>
                </c:pt>
                <c:pt idx="7">
                  <c:v>0.0</c:v>
                </c:pt>
              </c:numCache>
            </c:numRef>
          </c:val>
        </c:ser>
        <c:dLbls>
          <c:showLegendKey val="0"/>
          <c:showVal val="0"/>
          <c:showCatName val="0"/>
          <c:showSerName val="0"/>
          <c:showPercent val="0"/>
          <c:showBubbleSize val="0"/>
        </c:dLbls>
        <c:gapWidth val="150"/>
        <c:axId val="-2080297160"/>
        <c:axId val="-2080336504"/>
      </c:barChart>
      <c:catAx>
        <c:axId val="-2080297160"/>
        <c:scaling>
          <c:orientation val="minMax"/>
        </c:scaling>
        <c:delete val="0"/>
        <c:axPos val="b"/>
        <c:majorTickMark val="out"/>
        <c:minorTickMark val="none"/>
        <c:tickLblPos val="nextTo"/>
        <c:crossAx val="-2080336504"/>
        <c:crosses val="autoZero"/>
        <c:auto val="1"/>
        <c:lblAlgn val="ctr"/>
        <c:lblOffset val="100"/>
        <c:noMultiLvlLbl val="0"/>
      </c:catAx>
      <c:valAx>
        <c:axId val="-2080336504"/>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0297160"/>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1.6 Number of fluent speakers known by participants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v>1.6 Number of fluent speakers known by individuals</c:v>
          </c:tx>
          <c:invertIfNegative val="0"/>
          <c:dLbls>
            <c:showLegendKey val="0"/>
            <c:showVal val="1"/>
            <c:showCatName val="0"/>
            <c:showSerName val="0"/>
            <c:showPercent val="0"/>
            <c:showBubbleSize val="0"/>
            <c:showLeaderLines val="0"/>
          </c:dLbls>
          <c:cat>
            <c:strRef>
              <c:f>'Response Totals'!$A$64:$A$68</c:f>
              <c:strCache>
                <c:ptCount val="5"/>
                <c:pt idx="0">
                  <c:v>0</c:v>
                </c:pt>
                <c:pt idx="1">
                  <c:v>1-3</c:v>
                </c:pt>
                <c:pt idx="2">
                  <c:v>4-6</c:v>
                </c:pt>
                <c:pt idx="3">
                  <c:v>7-10</c:v>
                </c:pt>
                <c:pt idx="4">
                  <c:v>10 or more</c:v>
                </c:pt>
              </c:strCache>
            </c:strRef>
          </c:cat>
          <c:val>
            <c:numRef>
              <c:f>'Response Totals'!$B$64:$B$68</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80117352"/>
        <c:axId val="-2080114696"/>
      </c:barChart>
      <c:catAx>
        <c:axId val="-2080117352"/>
        <c:scaling>
          <c:orientation val="minMax"/>
        </c:scaling>
        <c:delete val="0"/>
        <c:axPos val="b"/>
        <c:majorTickMark val="out"/>
        <c:minorTickMark val="none"/>
        <c:tickLblPos val="nextTo"/>
        <c:crossAx val="-2080114696"/>
        <c:crosses val="autoZero"/>
        <c:auto val="1"/>
        <c:lblAlgn val="ctr"/>
        <c:lblOffset val="100"/>
        <c:noMultiLvlLbl val="0"/>
      </c:catAx>
      <c:valAx>
        <c:axId val="-2080114696"/>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0117352"/>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1.7 Frequency of interaction with fluent speakers</a:t>
            </a:r>
          </a:p>
        </c:rich>
      </c:tx>
      <c:layout>
        <c:manualLayout>
          <c:xMode val="edge"/>
          <c:yMode val="edge"/>
          <c:x val="0.180683889232947"/>
          <c:y val="0.037037037037037"/>
        </c:manualLayout>
      </c:layout>
      <c:overlay val="0"/>
    </c:title>
    <c:autoTitleDeleted val="0"/>
    <c:plotArea>
      <c:layout/>
      <c:barChart>
        <c:barDir val="col"/>
        <c:grouping val="clustered"/>
        <c:varyColors val="0"/>
        <c:ser>
          <c:idx val="0"/>
          <c:order val="0"/>
          <c:tx>
            <c:v>1.7 Frequency of interaction with fluent speakers</c:v>
          </c:tx>
          <c:invertIfNegative val="0"/>
          <c:dLbls>
            <c:showLegendKey val="0"/>
            <c:showVal val="1"/>
            <c:showCatName val="0"/>
            <c:showSerName val="0"/>
            <c:showPercent val="0"/>
            <c:showBubbleSize val="0"/>
            <c:showLeaderLines val="0"/>
          </c:dLbls>
          <c:cat>
            <c:strRef>
              <c:f>'Response Totals'!$A$72:$A$76</c:f>
              <c:strCache>
                <c:ptCount val="5"/>
                <c:pt idx="0">
                  <c:v>Daily</c:v>
                </c:pt>
                <c:pt idx="1">
                  <c:v>Weekly</c:v>
                </c:pt>
                <c:pt idx="2">
                  <c:v>Monthly</c:v>
                </c:pt>
                <c:pt idx="3">
                  <c:v>Sometimes</c:v>
                </c:pt>
                <c:pt idx="4">
                  <c:v>Never</c:v>
                </c:pt>
              </c:strCache>
            </c:strRef>
          </c:cat>
          <c:val>
            <c:numRef>
              <c:f>'Response Totals'!$B$72:$B$76</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080167608"/>
        <c:axId val="-2080164632"/>
      </c:barChart>
      <c:catAx>
        <c:axId val="-2080167608"/>
        <c:scaling>
          <c:orientation val="minMax"/>
        </c:scaling>
        <c:delete val="0"/>
        <c:axPos val="b"/>
        <c:majorTickMark val="out"/>
        <c:minorTickMark val="none"/>
        <c:tickLblPos val="nextTo"/>
        <c:crossAx val="-2080164632"/>
        <c:crosses val="autoZero"/>
        <c:auto val="1"/>
        <c:lblAlgn val="ctr"/>
        <c:lblOffset val="100"/>
        <c:noMultiLvlLbl val="0"/>
      </c:catAx>
      <c:valAx>
        <c:axId val="-2080164632"/>
        <c:scaling>
          <c:orientation val="minMax"/>
        </c:scaling>
        <c:delete val="0"/>
        <c:axPos val="l"/>
        <c:majorGridlines/>
        <c:title>
          <c:tx>
            <c:rich>
              <a:bodyPr rot="-5400000" vert="horz"/>
              <a:lstStyle/>
              <a:p>
                <a:pPr>
                  <a:defRPr/>
                </a:pPr>
                <a:r>
                  <a:rPr lang="en-US"/>
                  <a:t>Number of responses</a:t>
                </a:r>
              </a:p>
            </c:rich>
          </c:tx>
          <c:overlay val="0"/>
        </c:title>
        <c:numFmt formatCode="General" sourceLinked="1"/>
        <c:majorTickMark val="out"/>
        <c:minorTickMark val="none"/>
        <c:tickLblPos val="nextTo"/>
        <c:crossAx val="-2080167608"/>
        <c:crosses val="autoZero"/>
        <c:crossBetween val="between"/>
        <c:majorUnit val="1.0"/>
        <c:minorUnit val="1.0"/>
      </c:valAx>
    </c:plotArea>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1" Type="http://schemas.openxmlformats.org/officeDocument/2006/relationships/chart" Target="../charts/chart11.xml"/><Relationship Id="rId12" Type="http://schemas.openxmlformats.org/officeDocument/2006/relationships/chart" Target="../charts/chart12.xml"/><Relationship Id="rId13" Type="http://schemas.openxmlformats.org/officeDocument/2006/relationships/chart" Target="../charts/chart13.xml"/><Relationship Id="rId14" Type="http://schemas.openxmlformats.org/officeDocument/2006/relationships/chart" Target="../charts/chart14.xml"/><Relationship Id="rId15" Type="http://schemas.openxmlformats.org/officeDocument/2006/relationships/chart" Target="../charts/chart15.xml"/><Relationship Id="rId16" Type="http://schemas.openxmlformats.org/officeDocument/2006/relationships/chart" Target="../charts/chart16.xml"/><Relationship Id="rId17" Type="http://schemas.openxmlformats.org/officeDocument/2006/relationships/chart" Target="../charts/chart17.xml"/><Relationship Id="rId18" Type="http://schemas.openxmlformats.org/officeDocument/2006/relationships/chart" Target="../charts/chart18.xml"/><Relationship Id="rId19" Type="http://schemas.openxmlformats.org/officeDocument/2006/relationships/chart" Target="../charts/chart19.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1" Type="http://schemas.openxmlformats.org/officeDocument/2006/relationships/chart" Target="../charts/chart30.xml"/><Relationship Id="rId12" Type="http://schemas.openxmlformats.org/officeDocument/2006/relationships/chart" Target="../charts/chart31.xml"/><Relationship Id="rId13" Type="http://schemas.openxmlformats.org/officeDocument/2006/relationships/chart" Target="../charts/chart32.xml"/><Relationship Id="rId14" Type="http://schemas.openxmlformats.org/officeDocument/2006/relationships/chart" Target="../charts/chart33.xml"/><Relationship Id="rId15" Type="http://schemas.openxmlformats.org/officeDocument/2006/relationships/chart" Target="../charts/chart34.xml"/><Relationship Id="rId16" Type="http://schemas.openxmlformats.org/officeDocument/2006/relationships/chart" Target="../charts/chart35.xml"/><Relationship Id="rId17" Type="http://schemas.openxmlformats.org/officeDocument/2006/relationships/chart" Target="../charts/chart36.xml"/><Relationship Id="rId18" Type="http://schemas.openxmlformats.org/officeDocument/2006/relationships/chart" Target="../charts/chart37.xml"/><Relationship Id="rId19" Type="http://schemas.openxmlformats.org/officeDocument/2006/relationships/chart" Target="../charts/chart38.xml"/><Relationship Id="rId1" Type="http://schemas.openxmlformats.org/officeDocument/2006/relationships/chart" Target="../charts/chart20.xml"/><Relationship Id="rId2" Type="http://schemas.openxmlformats.org/officeDocument/2006/relationships/chart" Target="../charts/chart21.xml"/><Relationship Id="rId3" Type="http://schemas.openxmlformats.org/officeDocument/2006/relationships/chart" Target="../charts/chart22.xml"/><Relationship Id="rId4" Type="http://schemas.openxmlformats.org/officeDocument/2006/relationships/chart" Target="../charts/chart23.xml"/><Relationship Id="rId5" Type="http://schemas.openxmlformats.org/officeDocument/2006/relationships/chart" Target="../charts/chart24.xml"/><Relationship Id="rId6" Type="http://schemas.openxmlformats.org/officeDocument/2006/relationships/chart" Target="../charts/chart25.xml"/><Relationship Id="rId7" Type="http://schemas.openxmlformats.org/officeDocument/2006/relationships/chart" Target="../charts/chart26.xml"/><Relationship Id="rId8" Type="http://schemas.openxmlformats.org/officeDocument/2006/relationships/chart" Target="../charts/chart27.xml"/><Relationship Id="rId9" Type="http://schemas.openxmlformats.org/officeDocument/2006/relationships/chart" Target="../charts/chart28.xml"/><Relationship Id="rId10"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0</xdr:col>
      <xdr:colOff>82550</xdr:colOff>
      <xdr:row>2</xdr:row>
      <xdr:rowOff>38100</xdr:rowOff>
    </xdr:from>
    <xdr:to>
      <xdr:col>6</xdr:col>
      <xdr:colOff>673100</xdr:colOff>
      <xdr:row>19</xdr:row>
      <xdr:rowOff>114300</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23</xdr:row>
      <xdr:rowOff>76200</xdr:rowOff>
    </xdr:from>
    <xdr:to>
      <xdr:col>6</xdr:col>
      <xdr:colOff>755650</xdr:colOff>
      <xdr:row>40</xdr:row>
      <xdr:rowOff>152400</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0</xdr:rowOff>
    </xdr:from>
    <xdr:to>
      <xdr:col>6</xdr:col>
      <xdr:colOff>698500</xdr:colOff>
      <xdr:row>65</xdr:row>
      <xdr:rowOff>0</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68</xdr:row>
      <xdr:rowOff>0</xdr:rowOff>
    </xdr:from>
    <xdr:to>
      <xdr:col>6</xdr:col>
      <xdr:colOff>698500</xdr:colOff>
      <xdr:row>86</xdr:row>
      <xdr:rowOff>0</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92</xdr:row>
      <xdr:rowOff>0</xdr:rowOff>
    </xdr:from>
    <xdr:to>
      <xdr:col>6</xdr:col>
      <xdr:colOff>698500</xdr:colOff>
      <xdr:row>110</xdr:row>
      <xdr:rowOff>0</xdr:rowOff>
    </xdr:to>
    <xdr:graphicFrame macro="">
      <xdr:nvGraphicFramePr>
        <xdr:cNvPr id="41"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113</xdr:row>
      <xdr:rowOff>0</xdr:rowOff>
    </xdr:from>
    <xdr:to>
      <xdr:col>6</xdr:col>
      <xdr:colOff>698500</xdr:colOff>
      <xdr:row>131</xdr:row>
      <xdr:rowOff>0</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137</xdr:row>
      <xdr:rowOff>0</xdr:rowOff>
    </xdr:from>
    <xdr:to>
      <xdr:col>6</xdr:col>
      <xdr:colOff>698500</xdr:colOff>
      <xdr:row>155</xdr:row>
      <xdr:rowOff>0</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158</xdr:row>
      <xdr:rowOff>0</xdr:rowOff>
    </xdr:from>
    <xdr:to>
      <xdr:col>6</xdr:col>
      <xdr:colOff>698500</xdr:colOff>
      <xdr:row>176</xdr:row>
      <xdr:rowOff>0</xdr:rowOff>
    </xdr:to>
    <xdr:graphicFrame macro="">
      <xdr:nvGraphicFramePr>
        <xdr:cNvPr id="44"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182</xdr:row>
      <xdr:rowOff>0</xdr:rowOff>
    </xdr:from>
    <xdr:to>
      <xdr:col>6</xdr:col>
      <xdr:colOff>698500</xdr:colOff>
      <xdr:row>200</xdr:row>
      <xdr:rowOff>0</xdr:rowOff>
    </xdr:to>
    <xdr:graphicFrame macro="">
      <xdr:nvGraphicFramePr>
        <xdr:cNvPr id="45"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203</xdr:row>
      <xdr:rowOff>0</xdr:rowOff>
    </xdr:from>
    <xdr:to>
      <xdr:col>6</xdr:col>
      <xdr:colOff>698500</xdr:colOff>
      <xdr:row>221</xdr:row>
      <xdr:rowOff>0</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227</xdr:row>
      <xdr:rowOff>0</xdr:rowOff>
    </xdr:from>
    <xdr:to>
      <xdr:col>6</xdr:col>
      <xdr:colOff>698500</xdr:colOff>
      <xdr:row>245</xdr:row>
      <xdr:rowOff>0</xdr:rowOff>
    </xdr:to>
    <xdr:graphicFrame macro="">
      <xdr:nvGraphicFramePr>
        <xdr:cNvPr id="4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248</xdr:row>
      <xdr:rowOff>50800</xdr:rowOff>
    </xdr:from>
    <xdr:to>
      <xdr:col>6</xdr:col>
      <xdr:colOff>698500</xdr:colOff>
      <xdr:row>266</xdr:row>
      <xdr:rowOff>50800</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50800</xdr:colOff>
      <xdr:row>272</xdr:row>
      <xdr:rowOff>25400</xdr:rowOff>
    </xdr:from>
    <xdr:to>
      <xdr:col>6</xdr:col>
      <xdr:colOff>749300</xdr:colOff>
      <xdr:row>290</xdr:row>
      <xdr:rowOff>25400</xdr:rowOff>
    </xdr:to>
    <xdr:graphicFrame macro="">
      <xdr:nvGraphicFramePr>
        <xdr:cNvPr id="50"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38100</xdr:colOff>
      <xdr:row>293</xdr:row>
      <xdr:rowOff>88900</xdr:rowOff>
    </xdr:from>
    <xdr:to>
      <xdr:col>6</xdr:col>
      <xdr:colOff>736600</xdr:colOff>
      <xdr:row>311</xdr:row>
      <xdr:rowOff>88900</xdr:rowOff>
    </xdr:to>
    <xdr:graphicFrame macro="">
      <xdr:nvGraphicFramePr>
        <xdr:cNvPr id="51"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50800</xdr:colOff>
      <xdr:row>317</xdr:row>
      <xdr:rowOff>50800</xdr:rowOff>
    </xdr:from>
    <xdr:to>
      <xdr:col>6</xdr:col>
      <xdr:colOff>749300</xdr:colOff>
      <xdr:row>335</xdr:row>
      <xdr:rowOff>50800</xdr:rowOff>
    </xdr:to>
    <xdr:graphicFrame macro="">
      <xdr:nvGraphicFramePr>
        <xdr:cNvPr id="5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50800</xdr:colOff>
      <xdr:row>338</xdr:row>
      <xdr:rowOff>50800</xdr:rowOff>
    </xdr:from>
    <xdr:to>
      <xdr:col>6</xdr:col>
      <xdr:colOff>749300</xdr:colOff>
      <xdr:row>356</xdr:row>
      <xdr:rowOff>50800</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25400</xdr:colOff>
      <xdr:row>362</xdr:row>
      <xdr:rowOff>25400</xdr:rowOff>
    </xdr:from>
    <xdr:to>
      <xdr:col>6</xdr:col>
      <xdr:colOff>723900</xdr:colOff>
      <xdr:row>380</xdr:row>
      <xdr:rowOff>25400</xdr:rowOff>
    </xdr:to>
    <xdr:graphicFrame macro="">
      <xdr:nvGraphicFramePr>
        <xdr:cNvPr id="54"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12700</xdr:colOff>
      <xdr:row>383</xdr:row>
      <xdr:rowOff>25400</xdr:rowOff>
    </xdr:from>
    <xdr:to>
      <xdr:col>6</xdr:col>
      <xdr:colOff>711200</xdr:colOff>
      <xdr:row>401</xdr:row>
      <xdr:rowOff>25400</xdr:rowOff>
    </xdr:to>
    <xdr:graphicFrame macro="">
      <xdr:nvGraphicFramePr>
        <xdr:cNvPr id="55"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38100</xdr:colOff>
      <xdr:row>407</xdr:row>
      <xdr:rowOff>38100</xdr:rowOff>
    </xdr:from>
    <xdr:to>
      <xdr:col>6</xdr:col>
      <xdr:colOff>736600</xdr:colOff>
      <xdr:row>425</xdr:row>
      <xdr:rowOff>38100</xdr:rowOff>
    </xdr:to>
    <xdr:graphicFrame macro="">
      <xdr:nvGraphicFramePr>
        <xdr:cNvPr id="57" name="Chart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0</xdr:row>
      <xdr:rowOff>38100</xdr:rowOff>
    </xdr:from>
    <xdr:to>
      <xdr:col>9</xdr:col>
      <xdr:colOff>698500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16</xdr:row>
      <xdr:rowOff>101600</xdr:rowOff>
    </xdr:from>
    <xdr:to>
      <xdr:col>9</xdr:col>
      <xdr:colOff>685800</xdr:colOff>
      <xdr:row>31</xdr:row>
      <xdr:rowOff>165100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50800</xdr:colOff>
      <xdr:row>33</xdr:row>
      <xdr:rowOff>50800</xdr:rowOff>
    </xdr:from>
    <xdr:to>
      <xdr:col>9</xdr:col>
      <xdr:colOff>774700</xdr:colOff>
      <xdr:row>48</xdr:row>
      <xdr:rowOff>101600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50800</xdr:colOff>
      <xdr:row>49</xdr:row>
      <xdr:rowOff>38100</xdr:rowOff>
    </xdr:from>
    <xdr:to>
      <xdr:col>9</xdr:col>
      <xdr:colOff>774700</xdr:colOff>
      <xdr:row>64</xdr:row>
      <xdr:rowOff>114300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25400</xdr:colOff>
      <xdr:row>66</xdr:row>
      <xdr:rowOff>63500</xdr:rowOff>
    </xdr:from>
    <xdr:to>
      <xdr:col>9</xdr:col>
      <xdr:colOff>762000</xdr:colOff>
      <xdr:row>80</xdr:row>
      <xdr:rowOff>50800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25400</xdr:colOff>
      <xdr:row>80</xdr:row>
      <xdr:rowOff>114300</xdr:rowOff>
    </xdr:from>
    <xdr:to>
      <xdr:col>9</xdr:col>
      <xdr:colOff>762000</xdr:colOff>
      <xdr:row>98</xdr:row>
      <xdr:rowOff>139700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25400</xdr:colOff>
      <xdr:row>99</xdr:row>
      <xdr:rowOff>50800</xdr:rowOff>
    </xdr:from>
    <xdr:to>
      <xdr:col>9</xdr:col>
      <xdr:colOff>774700</xdr:colOff>
      <xdr:row>115</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25400</xdr:colOff>
      <xdr:row>115</xdr:row>
      <xdr:rowOff>76200</xdr:rowOff>
    </xdr:from>
    <xdr:to>
      <xdr:col>9</xdr:col>
      <xdr:colOff>774700</xdr:colOff>
      <xdr:row>131</xdr:row>
      <xdr:rowOff>25400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25400</xdr:colOff>
      <xdr:row>132</xdr:row>
      <xdr:rowOff>114300</xdr:rowOff>
    </xdr:from>
    <xdr:to>
      <xdr:col>9</xdr:col>
      <xdr:colOff>723900</xdr:colOff>
      <xdr:row>148</xdr:row>
      <xdr:rowOff>50800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149</xdr:row>
      <xdr:rowOff>0</xdr:rowOff>
    </xdr:from>
    <xdr:to>
      <xdr:col>9</xdr:col>
      <xdr:colOff>736600</xdr:colOff>
      <xdr:row>164</xdr:row>
      <xdr:rowOff>76200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38100</xdr:colOff>
      <xdr:row>165</xdr:row>
      <xdr:rowOff>63500</xdr:rowOff>
    </xdr:from>
    <xdr:to>
      <xdr:col>9</xdr:col>
      <xdr:colOff>762000</xdr:colOff>
      <xdr:row>180</xdr:row>
      <xdr:rowOff>114300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181</xdr:row>
      <xdr:rowOff>0</xdr:rowOff>
    </xdr:from>
    <xdr:to>
      <xdr:col>9</xdr:col>
      <xdr:colOff>647700</xdr:colOff>
      <xdr:row>196</xdr:row>
      <xdr:rowOff>76200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199</xdr:row>
      <xdr:rowOff>0</xdr:rowOff>
    </xdr:from>
    <xdr:to>
      <xdr:col>9</xdr:col>
      <xdr:colOff>673100</xdr:colOff>
      <xdr:row>214</xdr:row>
      <xdr:rowOff>165100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215</xdr:row>
      <xdr:rowOff>0</xdr:rowOff>
    </xdr:from>
    <xdr:to>
      <xdr:col>9</xdr:col>
      <xdr:colOff>685800</xdr:colOff>
      <xdr:row>230</xdr:row>
      <xdr:rowOff>25400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232</xdr:row>
      <xdr:rowOff>0</xdr:rowOff>
    </xdr:from>
    <xdr:to>
      <xdr:col>9</xdr:col>
      <xdr:colOff>698500</xdr:colOff>
      <xdr:row>247</xdr:row>
      <xdr:rowOff>63500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248</xdr:row>
      <xdr:rowOff>0</xdr:rowOff>
    </xdr:from>
    <xdr:to>
      <xdr:col>9</xdr:col>
      <xdr:colOff>685800</xdr:colOff>
      <xdr:row>263</xdr:row>
      <xdr:rowOff>88900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265</xdr:row>
      <xdr:rowOff>0</xdr:rowOff>
    </xdr:from>
    <xdr:to>
      <xdr:col>9</xdr:col>
      <xdr:colOff>698500</xdr:colOff>
      <xdr:row>280</xdr:row>
      <xdr:rowOff>127000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281</xdr:row>
      <xdr:rowOff>0</xdr:rowOff>
    </xdr:from>
    <xdr:to>
      <xdr:col>9</xdr:col>
      <xdr:colOff>749300</xdr:colOff>
      <xdr:row>296</xdr:row>
      <xdr:rowOff>114300</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50800</xdr:colOff>
      <xdr:row>297</xdr:row>
      <xdr:rowOff>101600</xdr:rowOff>
    </xdr:from>
    <xdr:to>
      <xdr:col>9</xdr:col>
      <xdr:colOff>774700</xdr:colOff>
      <xdr:row>329</xdr:row>
      <xdr:rowOff>152400</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
  <sheetViews>
    <sheetView tabSelected="1" workbookViewId="0">
      <pane ySplit="1" topLeftCell="A2" activePane="bottomLeft" state="frozen"/>
      <selection pane="bottomLeft" activeCell="AB2" sqref="AB2"/>
    </sheetView>
  </sheetViews>
  <sheetFormatPr baseColWidth="10" defaultColWidth="21.33203125" defaultRowHeight="15" x14ac:dyDescent="0"/>
  <cols>
    <col min="1" max="16384" width="21.33203125" style="4"/>
  </cols>
  <sheetData>
    <row r="1" spans="1:31" s="28" customFormat="1" ht="225">
      <c r="A1" s="28" t="s">
        <v>107</v>
      </c>
      <c r="B1" s="28" t="s">
        <v>112</v>
      </c>
      <c r="C1" s="28" t="s">
        <v>111</v>
      </c>
      <c r="D1" s="28" t="s">
        <v>41</v>
      </c>
      <c r="E1" s="28" t="s">
        <v>42</v>
      </c>
      <c r="F1" s="28" t="s">
        <v>113</v>
      </c>
      <c r="G1" s="28" t="s">
        <v>115</v>
      </c>
      <c r="H1" s="28" t="s">
        <v>114</v>
      </c>
      <c r="I1" s="28" t="s">
        <v>22</v>
      </c>
      <c r="J1" s="28" t="s">
        <v>23</v>
      </c>
      <c r="K1" s="28" t="s">
        <v>24</v>
      </c>
      <c r="L1" s="29" t="s">
        <v>116</v>
      </c>
      <c r="M1" s="28" t="s">
        <v>36</v>
      </c>
      <c r="N1" s="29" t="s">
        <v>120</v>
      </c>
      <c r="O1" s="28" t="s">
        <v>121</v>
      </c>
      <c r="P1" s="28" t="s">
        <v>122</v>
      </c>
      <c r="Q1" s="28" t="s">
        <v>47</v>
      </c>
      <c r="R1" s="28" t="s">
        <v>123</v>
      </c>
      <c r="S1" s="28" t="s">
        <v>48</v>
      </c>
      <c r="T1" s="28" t="s">
        <v>124</v>
      </c>
      <c r="U1" s="28" t="s">
        <v>49</v>
      </c>
      <c r="V1" s="28" t="s">
        <v>125</v>
      </c>
      <c r="W1" s="28" t="s">
        <v>50</v>
      </c>
      <c r="X1" s="28" t="s">
        <v>126</v>
      </c>
      <c r="Y1" s="28" t="s">
        <v>52</v>
      </c>
      <c r="Z1" s="28" t="s">
        <v>127</v>
      </c>
      <c r="AA1" s="28" t="s">
        <v>54</v>
      </c>
      <c r="AB1" s="28" t="s">
        <v>110</v>
      </c>
      <c r="AC1" s="28" t="s">
        <v>128</v>
      </c>
      <c r="AD1" s="28" t="s">
        <v>129</v>
      </c>
      <c r="AE1" s="28" t="s">
        <v>130</v>
      </c>
    </row>
  </sheetData>
  <dataValidations xWindow="1214" yWindow="64834" count="9">
    <dataValidation allowBlank="1" showInputMessage="1" showErrorMessage="1" promptTitle="Entering data for ranges" prompt="Enter the range as #-# or as # - #. Do not enter single number values (like 7, or 145)" sqref="I2:J2"/>
    <dataValidation allowBlank="1" showInputMessage="1" showErrorMessage="1" promptTitle="Open ended response" prompt="Data entered in this column will not be tabulated in Excel. You can use the Mail Merge function in Word to connect a Word document to this Excel template to present open ended response data collected in this column, if you choose to do so. " sqref="M1:M1048576"/>
    <dataValidation allowBlank="1" showInputMessage="1" showErrorMessage="1" promptTitle="Entering multiple responses" prompt="Enter multiple responses separated by a space then semi-colon, then space again.  _;__x000d__x000d_Eg. Mother ; Father ; Other _x000d__x000d_If the response is &quot;Other&quot;, only enter &quot;Other&quot;._x000d__x000d_If the response is &quot;Brothers, Sisters&quot;, only enter the word &quot;Brother&quot;" sqref="O2"/>
    <dataValidation allowBlank="1" showInputMessage="1" showErrorMessage="1" promptTitle="Open ended response" prompt="Data entered in this column will not be tabulated in Excel. You can use the Mail Merge function in Word to connect a Word document to this Excel template to present open ended response data collected in this column, if you choose to do so." sqref="Q2 S2 U2 W2 Y2 AA2"/>
    <dataValidation allowBlank="1" showInputMessage="1" showErrorMessage="1" promptTitle="Entering ranked responses" prompt="Enter the NUMBER ONE REASON in this column_x000d__x000d_Eg. If participant selects Knowledge as 1st reason, type &quot;Knowledge&quot;_x000d__x000d_If the response is &quot;Other&quot;, only enter &quot;Other&quot;. Do not specify" sqref="AC2"/>
    <dataValidation allowBlank="1" showInputMessage="1" showErrorMessage="1" promptTitle="Entering ranked responses" prompt="Enter the NUMBER TWO REASON in this column_x000d__x000d_Eg. If participant selects Culture as 2nd reason, type &quot;Culture&quot;_x000d__x000d_If the response is &quot;Other&quot;, only enter &quot;Other&quot;. Do not specify" sqref="AD2"/>
    <dataValidation allowBlank="1" showInputMessage="1" showErrorMessage="1" promptTitle="Entering ranked responses" prompt="Enter the NUMBER THREE REASON in this column_x000d__x000d_Eg. If participant selects Nation as 3rd reason, type &quot;Nation&quot;_x000d__x000d_If the response is &quot;Other&quot;, only enter &quot;Other&quot;. Do not specify" sqref="AE2"/>
    <dataValidation allowBlank="1" showInputMessage="1" showErrorMessage="1" promptTitle="Entering data for gender" prompt="To enter data for gender, use the lower-case letter &quot;f&quot; or &quot;m&quot; only. Do not capitalize the letter of the gender. Do not write the full word for the gender. " sqref="C2"/>
    <dataValidation allowBlank="1" showInputMessage="1" showErrorMessage="1" promptTitle="Entering data for age" prompt="To enter data for age, type any age number. Excel will automatically group the age into a category for the response totals worksheet." sqref="B2"/>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5"/>
  <sheetViews>
    <sheetView view="pageLayout" topLeftCell="A164" workbookViewId="0">
      <selection activeCell="A20" sqref="A20"/>
    </sheetView>
  </sheetViews>
  <sheetFormatPr baseColWidth="10" defaultRowHeight="15" x14ac:dyDescent="0"/>
  <cols>
    <col min="1" max="1" width="19.5" style="2" customWidth="1"/>
    <col min="2" max="2" width="6.5" customWidth="1"/>
    <col min="3" max="4" width="4.33203125" customWidth="1"/>
    <col min="5" max="5" width="3.83203125" customWidth="1"/>
    <col min="6" max="6" width="4.83203125" customWidth="1"/>
    <col min="7" max="13" width="5.83203125" customWidth="1"/>
    <col min="14" max="14" width="4.33203125" customWidth="1"/>
  </cols>
  <sheetData>
    <row r="1" spans="1:2" ht="53" customHeight="1">
      <c r="A1" s="6" t="s">
        <v>118</v>
      </c>
      <c r="B1" s="32" t="s">
        <v>119</v>
      </c>
    </row>
    <row r="3" spans="1:2">
      <c r="A3" s="3" t="s">
        <v>108</v>
      </c>
      <c r="B3" s="4" t="s">
        <v>64</v>
      </c>
    </row>
    <row r="4" spans="1:2">
      <c r="A4" s="3" t="s">
        <v>55</v>
      </c>
      <c r="B4" s="4">
        <f>COUNTIF('Participant Responses'!B2:B1000,"&lt;=4")</f>
        <v>0</v>
      </c>
    </row>
    <row r="5" spans="1:2">
      <c r="A5" s="3" t="s">
        <v>66</v>
      </c>
      <c r="B5" s="4">
        <f>COUNTIFS('Participant Responses'!B2:B1000,"&gt;=5",'Participant Responses'!B2:B1000,"&lt;=14")</f>
        <v>0</v>
      </c>
    </row>
    <row r="6" spans="1:2">
      <c r="A6" s="3" t="s">
        <v>56</v>
      </c>
      <c r="B6" s="4">
        <f>COUNTIFS('Participant Responses'!B2:B1000,"&gt;=15",'Participant Responses'!B2:B1000,"&lt;=19")</f>
        <v>0</v>
      </c>
    </row>
    <row r="7" spans="1:2">
      <c r="A7" s="3" t="s">
        <v>57</v>
      </c>
      <c r="B7" s="4">
        <f>COUNTIFS('Participant Responses'!B2:B1000,"&gt;=20",'Participant Responses'!B2:B1000,"&lt;=24")</f>
        <v>0</v>
      </c>
    </row>
    <row r="8" spans="1:2">
      <c r="A8" s="3" t="s">
        <v>58</v>
      </c>
      <c r="B8" s="4">
        <f>COUNTIFS('Participant Responses'!B2:B1000,"&gt;=25",'Participant Responses'!B2:B1000,"&lt;=44")</f>
        <v>0</v>
      </c>
    </row>
    <row r="9" spans="1:2">
      <c r="A9" s="3" t="s">
        <v>59</v>
      </c>
      <c r="B9" s="5">
        <f>COUNTIFS('Participant Responses'!B2:B1000,"&gt;=45",'Participant Responses'!B2:B1000,"&lt;=54")</f>
        <v>0</v>
      </c>
    </row>
    <row r="10" spans="1:2">
      <c r="A10" s="3" t="s">
        <v>60</v>
      </c>
      <c r="B10" s="4">
        <f>COUNTIFS('Participant Responses'!B2:B1000,"&gt;=55",'Participant Responses'!B2:B1000,"&lt;=64")</f>
        <v>0</v>
      </c>
    </row>
    <row r="11" spans="1:2">
      <c r="A11" s="3" t="s">
        <v>67</v>
      </c>
      <c r="B11" s="4">
        <f>COUNTIFS('Participant Responses'!B2:B1000,"&gt;=65",'Participant Responses'!B2:B1000,"&lt;=74")</f>
        <v>0</v>
      </c>
    </row>
    <row r="12" spans="1:2">
      <c r="A12" s="3" t="s">
        <v>61</v>
      </c>
      <c r="B12" s="4">
        <f>COUNTIFS('Participant Responses'!B2:B1000,"&gt;=75",'Participant Responses'!B2:B1000,"&lt;=84")</f>
        <v>0</v>
      </c>
    </row>
    <row r="13" spans="1:2">
      <c r="A13" s="3" t="s">
        <v>65</v>
      </c>
      <c r="B13" s="4">
        <f>COUNTIFS('Participant Responses'!B2:B1000,"&gt;=85")</f>
        <v>0</v>
      </c>
    </row>
    <row r="15" spans="1:2" ht="30">
      <c r="A15" s="6" t="s">
        <v>109</v>
      </c>
      <c r="B15" s="4" t="s">
        <v>64</v>
      </c>
    </row>
    <row r="16" spans="1:2">
      <c r="A16" s="3" t="s">
        <v>44</v>
      </c>
      <c r="B16" s="4">
        <f>COUNTIF('Participant Responses'!C2:C1000,"m")</f>
        <v>0</v>
      </c>
    </row>
    <row r="17" spans="1:14" ht="16" thickBot="1">
      <c r="A17" s="20" t="s">
        <v>45</v>
      </c>
      <c r="B17" s="23">
        <f>COUNTIF('Participant Responses'!C2:C1000,"f")</f>
        <v>0</v>
      </c>
    </row>
    <row r="18" spans="1:14">
      <c r="A18" s="30" t="s">
        <v>117</v>
      </c>
      <c r="B18" s="31">
        <f>SUM(B16:B17)</f>
        <v>0</v>
      </c>
    </row>
    <row r="20" spans="1:14" s="1" customFormat="1" ht="30" customHeight="1">
      <c r="A20" s="8" t="s">
        <v>0</v>
      </c>
      <c r="B20" s="11" t="s">
        <v>64</v>
      </c>
      <c r="C20" s="36" t="s">
        <v>43</v>
      </c>
      <c r="D20" s="44"/>
      <c r="E20" s="44" t="s">
        <v>46</v>
      </c>
      <c r="F20" s="44"/>
      <c r="G20" s="44"/>
      <c r="H20" s="44"/>
      <c r="I20" s="44"/>
      <c r="J20" s="44"/>
      <c r="K20" s="44"/>
      <c r="L20" s="44"/>
      <c r="M20" s="44"/>
      <c r="N20" s="44"/>
    </row>
    <row r="21" spans="1:14">
      <c r="A21" s="3"/>
      <c r="B21" s="13"/>
      <c r="C21" s="7" t="s">
        <v>62</v>
      </c>
      <c r="D21" s="4" t="s">
        <v>63</v>
      </c>
      <c r="E21" s="3" t="s">
        <v>55</v>
      </c>
      <c r="F21" s="3" t="s">
        <v>66</v>
      </c>
      <c r="G21" s="3" t="s">
        <v>56</v>
      </c>
      <c r="H21" s="3" t="s">
        <v>57</v>
      </c>
      <c r="I21" s="3" t="s">
        <v>58</v>
      </c>
      <c r="J21" s="3" t="s">
        <v>59</v>
      </c>
      <c r="K21" s="3" t="s">
        <v>60</v>
      </c>
      <c r="L21" s="3" t="s">
        <v>67</v>
      </c>
      <c r="M21" s="3" t="s">
        <v>61</v>
      </c>
      <c r="N21" s="3" t="s">
        <v>65</v>
      </c>
    </row>
    <row r="22" spans="1:14">
      <c r="A22" s="9" t="s">
        <v>1</v>
      </c>
      <c r="B22" s="12">
        <f>COUNTIF('Participant Responses'!F2:F1000,"?luent*")</f>
        <v>0</v>
      </c>
      <c r="C22" s="10">
        <f>COUNTIFS('Participant Responses'!F2:F1000,"?luent*",'Participant Responses'!C2:C1000,"m")</f>
        <v>0</v>
      </c>
      <c r="D22" s="4">
        <f>COUNTIFS('Participant Responses'!F2:F1000,"?luent*",'Participant Responses'!C2:C1000,"f")</f>
        <v>0</v>
      </c>
      <c r="E22" s="5">
        <f>COUNTIFS('Participant Responses'!F2:F1000,"?luent*",'Participant Responses'!B2:B1000,"&lt;=4")</f>
        <v>0</v>
      </c>
      <c r="F22" s="4">
        <f>COUNTIFS('Participant Responses'!F2:F1000,"?luent*",'Participant Responses'!B2:B1000,"&gt;=5",'Participant Responses'!B2:B1000,"&lt;=14")</f>
        <v>0</v>
      </c>
      <c r="G22" s="4">
        <f>COUNTIFS('Participant Responses'!F2:F1000,"?luent*",'Participant Responses'!B2:B1000,"&gt;=15",'Participant Responses'!B2:B1000,"&lt;=19")</f>
        <v>0</v>
      </c>
      <c r="H22" s="4">
        <f>COUNTIFS('Participant Responses'!F2:F1000,"?luent*",'Participant Responses'!B2:B1000,"&gt;=20",'Participant Responses'!B2:B1000,"&lt;=24")</f>
        <v>0</v>
      </c>
      <c r="I22" s="4">
        <f>COUNTIFS('Participant Responses'!F2:F1000,"?luent*",'Participant Responses'!B2:B1000,"&gt;=25",'Participant Responses'!B2:B1000,"&lt;=44")</f>
        <v>0</v>
      </c>
      <c r="J22" s="4">
        <f>COUNTIFS('Participant Responses'!F2:F1000,"?luent*",'Participant Responses'!B2:B1000,"&gt;=45",'Participant Responses'!B2:B1000,"&lt;=54")</f>
        <v>0</v>
      </c>
      <c r="K22" s="4">
        <f>COUNTIFS('Participant Responses'!F2:F1000,"?luent*",'Participant Responses'!B2:B1000,"&gt;=55",'Participant Responses'!B2:B1000,"&lt;=64")</f>
        <v>0</v>
      </c>
      <c r="L22" s="4">
        <f>COUNTIFS('Participant Responses'!F2:F1000,"?luent*",'Participant Responses'!B2:B1000,"&gt;=65",'Participant Responses'!B2:B1000,"&lt;=74")</f>
        <v>0</v>
      </c>
      <c r="M22" s="4">
        <f>COUNTIFS('Participant Responses'!F2:F1000,"?luent*",'Participant Responses'!B2:B1000,"&gt;=75",'Participant Responses'!B2:B1000,"&lt;=84")</f>
        <v>0</v>
      </c>
      <c r="N22" s="4">
        <f>COUNTIFS('Participant Responses'!F2:F1000,"?luent*",'Participant Responses'!B2:B1000,"&gt;=85")</f>
        <v>0</v>
      </c>
    </row>
    <row r="23" spans="1:14">
      <c r="A23" s="3" t="s">
        <v>2</v>
      </c>
      <c r="B23" s="13">
        <f>COUNTIF('Participant Responses'!F2:F1000,"?ome* ?luent*")</f>
        <v>0</v>
      </c>
      <c r="C23" s="7">
        <f>COUNTIFS('Participant Responses'!F2:F1000,"?ome* ?luent*",'Participant Responses'!C2:C1000,"m")</f>
        <v>0</v>
      </c>
      <c r="D23" s="4">
        <f>COUNTIFS('Participant Responses'!F2:F1000,"?ome* ?luent*",'Participant Responses'!C2:C1000,"f")</f>
        <v>0</v>
      </c>
      <c r="E23" s="4">
        <f>COUNTIFS('Participant Responses'!F2:F1000,"?ome* ?luent*",'Participant Responses'!B2:B1000,"&lt;=4")</f>
        <v>0</v>
      </c>
      <c r="F23" s="4">
        <f>COUNTIFS('Participant Responses'!F2:F1000,"?ome* ?luent*",'Participant Responses'!B2:B1000,"&gt;=5",'Participant Responses'!B2:B1000,"&lt;=14")</f>
        <v>0</v>
      </c>
      <c r="G23" s="4">
        <f>COUNTIFS('Participant Responses'!F2:F1000,"?ome* ?luent*",'Participant Responses'!B2:B1000,"&gt;=15",'Participant Responses'!B2:B1000,"&lt;=19")</f>
        <v>0</v>
      </c>
      <c r="H23" s="4">
        <f>COUNTIFS('Participant Responses'!F2:F1000,"?ome* ?luent*",'Participant Responses'!B2:B1000,"&gt;=20",'Participant Responses'!B2:B1000,"&lt;=24")</f>
        <v>0</v>
      </c>
      <c r="I23" s="4">
        <f>COUNTIFS('Participant Responses'!F2:F1000,"?ome* ?luent*",'Participant Responses'!B2:B1000,"&gt;=25",'Participant Responses'!B2:B1000,"&lt;=44")</f>
        <v>0</v>
      </c>
      <c r="J23" s="4">
        <f>COUNTIFS('Participant Responses'!F2:F1000,"?ome* ?luent*",'Participant Responses'!B2:B1000,"&gt;=45",'Participant Responses'!B2:B1000,"&lt;=54")</f>
        <v>0</v>
      </c>
      <c r="K23" s="4">
        <f>COUNTIFS('Participant Responses'!F2:F1000,"?ome* ?luent*",'Participant Responses'!B2:B1000,"&gt;=55",'Participant Responses'!B2:B1000,"&lt;=64")</f>
        <v>0</v>
      </c>
      <c r="L23" s="4">
        <f>COUNTIFS('Participant Responses'!F2:F1000,"?ome* ?luent*",'Participant Responses'!B2:B1000,"&gt;=65",'Participant Responses'!B2:B1000,"&lt;=74")</f>
        <v>0</v>
      </c>
      <c r="M23" s="4">
        <f>COUNTIFS('Participant Responses'!F2:F1000,"?ome* ?luent*",'Participant Responses'!B2:B1000,"&gt;=75",'Participant Responses'!B2:B1000,"&lt;=84")</f>
        <v>0</v>
      </c>
      <c r="N23" s="4">
        <f>COUNTIFS('Participant Responses'!F2:F1000,"?ome* ?luent*",'Participant Responses'!B2:B1000,"&gt;85")</f>
        <v>0</v>
      </c>
    </row>
    <row r="24" spans="1:14">
      <c r="A24" s="3" t="s">
        <v>3</v>
      </c>
      <c r="B24" s="13">
        <f>COUNTIF('Participant Responses'!F2:F1000,"?ot ?ery ?ell")</f>
        <v>0</v>
      </c>
      <c r="C24" s="7">
        <f>COUNTIFS('Participant Responses'!F2:F1000,"?ot ?ery ?ell",'Participant Responses'!C2:C1000,"m")</f>
        <v>0</v>
      </c>
      <c r="D24" s="4">
        <f>COUNTIFS('Participant Responses'!F2:F1000,"?ot ?ery ?ell",'Participant Responses'!C2:C1000,"f")</f>
        <v>0</v>
      </c>
      <c r="E24" s="4">
        <f>COUNTIFS('Participant Responses'!F2:F1000,"?ot ?ery ?ell",'Participant Responses'!B2:B1000,"&lt;=4")</f>
        <v>0</v>
      </c>
      <c r="F24" s="4">
        <f>COUNTIFS('Participant Responses'!F2:F1000,"?ot ?ery ?ell",'Participant Responses'!B2:B1000,"&gt;=5",'Participant Responses'!B2:B1000,"&lt;=14")</f>
        <v>0</v>
      </c>
      <c r="G24" s="4">
        <f>COUNTIFS('Participant Responses'!F2:F1000,"?ot ?ery ?ell",'Participant Responses'!B2:B1000,"&gt;=15",'Participant Responses'!B2:B1000,"&lt;=19")</f>
        <v>0</v>
      </c>
      <c r="H24" s="4">
        <f>COUNTIFS('Participant Responses'!F2:F1000,"?ot ?ery ?ell",'Participant Responses'!B2:B1000,"&gt;=20",'Participant Responses'!B2:B1000,"&lt;=24")</f>
        <v>0</v>
      </c>
      <c r="I24" s="4">
        <f>COUNTIFS('Participant Responses'!F2:F1000,"?ot ?ery ?ell",'Participant Responses'!B2:B1000,"&gt;=25",'Participant Responses'!B2:B1000,"&lt;=44")</f>
        <v>0</v>
      </c>
      <c r="J24" s="4">
        <f>COUNTIFS('Participant Responses'!F2:F1000,"?ot ?ery ?ell",'Participant Responses'!B2:B1000,"&gt;=45",'Participant Responses'!B2:B1000,"&lt;=54")</f>
        <v>0</v>
      </c>
      <c r="K24" s="4">
        <f>COUNTIFS('Participant Responses'!F2:F1000,"?ot ?ery ?ell",'Participant Responses'!B2:B1000,"&gt;=55",'Participant Responses'!B2:B1000,"&lt;=64")</f>
        <v>0</v>
      </c>
      <c r="L24" s="4">
        <f>COUNTIFS('Participant Responses'!F2:F1000,"?ot ?ery ?ell",'Participant Responses'!B2:B1000,"&gt;=65",'Participant Responses'!B2:B1000,"&lt;=74")</f>
        <v>0</v>
      </c>
      <c r="M24" s="4">
        <f>COUNTIFS('Participant Responses'!F2:F1000,"?ot ?ery ?ell",'Participant Responses'!B2:B1000,"&gt;=75",'Participant Responses'!B2:B1000,"&lt;=84")</f>
        <v>0</v>
      </c>
      <c r="N24" s="4">
        <f>COUNTIFS('Participant Responses'!F2:F1000,"?ot ?ery ?ell",'Participant Responses'!B2:B1000,"&gt;85")</f>
        <v>0</v>
      </c>
    </row>
    <row r="25" spans="1:14">
      <c r="A25" s="3" t="s">
        <v>4</v>
      </c>
      <c r="B25" s="13">
        <f>COUNTIF('Participant Responses'!F2:F1000,"?now ?ome ?ocabulary")</f>
        <v>0</v>
      </c>
      <c r="C25" s="7">
        <f>COUNTIFS('Participant Responses'!F2:F1000,"?now ?ome ?ocabulary",'Participant Responses'!C2:C1000,"m")</f>
        <v>0</v>
      </c>
      <c r="D25" s="4">
        <f>COUNTIFS('Participant Responses'!F2:F1000,"?now ?ome ?ocabulary",'Participant Responses'!C2:C1000,"f")</f>
        <v>0</v>
      </c>
      <c r="E25" s="4">
        <f>COUNTIFS('Participant Responses'!F2:F1000,"?now ?ome ?ocabulary",'Participant Responses'!B2:B1000,"&lt;=4")</f>
        <v>0</v>
      </c>
      <c r="F25" s="4">
        <f>COUNTIFS('Participant Responses'!F2:F1000,"?now ?ome ?ocabulary",'Participant Responses'!B2:B1000,"&gt;=5",'Participant Responses'!B2:B1000,"&lt;=14")</f>
        <v>0</v>
      </c>
      <c r="G25" s="4">
        <f>COUNTIFS('Participant Responses'!F2:F1000,"?now ?ome ?ocabulary",'Participant Responses'!B2:B1000,"&gt;=15",'Participant Responses'!B2:B1000,"&lt;=19")</f>
        <v>0</v>
      </c>
      <c r="H25" s="4">
        <f>COUNTIFS('Participant Responses'!F2:F1000,"?now ?ome ?ocabulary",'Participant Responses'!B2:B1000,"&gt;=20",'Participant Responses'!B2:B1000,"&lt;=24")</f>
        <v>0</v>
      </c>
      <c r="I25" s="4">
        <f>COUNTIFS('Participant Responses'!F2:F1000,"?now ?ome ?ocabulary",'Participant Responses'!B2:B1000,"&gt;=25",'Participant Responses'!B2:B1000,"&lt;=44")</f>
        <v>0</v>
      </c>
      <c r="J25" s="4">
        <f>COUNTIFS('Participant Responses'!F2:F1000,"?now ?ome ?ocabulary",'Participant Responses'!B2:B1000,"&gt;=45",'Participant Responses'!B2:B1000,"&lt;=54")</f>
        <v>0</v>
      </c>
      <c r="K25" s="4">
        <f>COUNTIFS('Participant Responses'!F2:F1000,"?now ?ome ?ocabulary",'Participant Responses'!B2:B1000,"&gt;=55",'Participant Responses'!B2:B1000,"&lt;=64")</f>
        <v>0</v>
      </c>
      <c r="L25" s="4">
        <f>COUNTIFS('Participant Responses'!F2:F1000,"?now ?ome ?ocabulary",'Participant Responses'!B2:B1000,"&gt;=65",'Participant Responses'!B2:B1000,"&lt;=74")</f>
        <v>0</v>
      </c>
      <c r="M25" s="4">
        <f>COUNTIFS('Participant Responses'!F2:F1000,"?now ?ome ?ocabulary",'Participant Responses'!B2:B1000,"&gt;=75",'Participant Responses'!B2:B1000,"&lt;=84")</f>
        <v>0</v>
      </c>
      <c r="N25" s="4">
        <f>COUNTIFS('Participant Responses'!F2:F1000,"?now ?ome ?ocabulary",'Participant Responses'!B2:B1000,"&gt;85")</f>
        <v>0</v>
      </c>
    </row>
    <row r="26" spans="1:14">
      <c r="A26" s="3" t="s">
        <v>5</v>
      </c>
      <c r="B26" s="13">
        <f>COUNTIF('Participant Responses'!F2:F1000,"?ot ?t ?ll")</f>
        <v>0</v>
      </c>
      <c r="C26" s="7">
        <f>COUNTIFS('Participant Responses'!F2:F1000,"?ot ?t ?ll",'Participant Responses'!C2:C1000,"m")</f>
        <v>0</v>
      </c>
      <c r="D26" s="4">
        <f>COUNTIFS('Participant Responses'!F2:F1000,"?ot ?t ?ll",'Participant Responses'!C2:C1000,"f")</f>
        <v>0</v>
      </c>
      <c r="E26" s="4">
        <f>COUNTIFS('Participant Responses'!F2:F1000,"?ot ?t ?ll",'Participant Responses'!B2:B1000,"&lt;=4")</f>
        <v>0</v>
      </c>
      <c r="F26" s="4">
        <f>COUNTIFS('Participant Responses'!F2:F1000,"?ot ?t ?ll",'Participant Responses'!B2:B1000,"&gt;=5",'Participant Responses'!B2:B1000,"&lt;=14")</f>
        <v>0</v>
      </c>
      <c r="G26" s="4">
        <f>COUNTIFS('Participant Responses'!F2:F1000,"?ot ?t ?ll",'Participant Responses'!B2:B1000,"&gt;=15",'Participant Responses'!B2:B1000,"&lt;=19")</f>
        <v>0</v>
      </c>
      <c r="H26" s="4">
        <f>COUNTIFS('Participant Responses'!F2:F1000,"?ot ?t ?ll",'Participant Responses'!B2:B1000,"&gt;=20",'Participant Responses'!B2:B1000,"&lt;=24")</f>
        <v>0</v>
      </c>
      <c r="I26" s="4">
        <f>COUNTIFS('Participant Responses'!F2:F1000,"?ot ?t ?ll",'Participant Responses'!B2:B1000,"&gt;=25",'Participant Responses'!B2:B1000,"&lt;=44")</f>
        <v>0</v>
      </c>
      <c r="J26" s="4">
        <f>COUNTIFS('Participant Responses'!F2:F1000,"?ot ?t ?ll",'Participant Responses'!B2:B1000,"&gt;=45",'Participant Responses'!B2:B1000,"&lt;=54")</f>
        <v>0</v>
      </c>
      <c r="K26" s="4">
        <f>COUNTIFS('Participant Responses'!F2:F1000,"?ot ?t ?ll",'Participant Responses'!B2:B1000,"&gt;=55",'Participant Responses'!B2:B1000,"&lt;=64")</f>
        <v>0</v>
      </c>
      <c r="L26" s="4">
        <f>COUNTIFS('Participant Responses'!F2:F1000,"?ot ?t ?ll",'Participant Responses'!B2:B1000,"&gt;=65",'Participant Responses'!B2:B1000,"&lt;=74")</f>
        <v>0</v>
      </c>
      <c r="M26" s="4">
        <f>COUNTIFS('Participant Responses'!F2:F1000,"?ot ?t ?ll",'Participant Responses'!B2:B1000,"&gt;=75",'Participant Responses'!B2:B1000,"&lt;=84")</f>
        <v>0</v>
      </c>
      <c r="N26" s="4">
        <f>COUNTIFS('Participant Responses'!F2:F1000,"?ot ?t ?ll",'Participant Responses'!B2:B1000,"&gt;85")</f>
        <v>0</v>
      </c>
    </row>
    <row r="28" spans="1:14" ht="60">
      <c r="A28" s="8" t="s">
        <v>6</v>
      </c>
      <c r="B28" s="11" t="s">
        <v>64</v>
      </c>
      <c r="C28" s="36" t="s">
        <v>43</v>
      </c>
      <c r="D28" s="44"/>
      <c r="E28" s="44" t="s">
        <v>46</v>
      </c>
      <c r="F28" s="44"/>
      <c r="G28" s="44"/>
      <c r="H28" s="44"/>
      <c r="I28" s="44"/>
      <c r="J28" s="44"/>
      <c r="K28" s="44"/>
      <c r="L28" s="44"/>
      <c r="M28" s="44"/>
      <c r="N28" s="44"/>
    </row>
    <row r="29" spans="1:14">
      <c r="A29" s="6"/>
      <c r="B29" s="13"/>
      <c r="C29" s="7" t="s">
        <v>62</v>
      </c>
      <c r="D29" s="4" t="s">
        <v>63</v>
      </c>
      <c r="E29" s="3" t="s">
        <v>55</v>
      </c>
      <c r="F29" s="3" t="s">
        <v>66</v>
      </c>
      <c r="G29" s="3" t="s">
        <v>56</v>
      </c>
      <c r="H29" s="3" t="s">
        <v>57</v>
      </c>
      <c r="I29" s="3" t="s">
        <v>58</v>
      </c>
      <c r="J29" s="3" t="s">
        <v>59</v>
      </c>
      <c r="K29" s="3" t="s">
        <v>60</v>
      </c>
      <c r="L29" s="3" t="s">
        <v>67</v>
      </c>
      <c r="M29" s="3" t="s">
        <v>61</v>
      </c>
      <c r="N29" s="3" t="s">
        <v>65</v>
      </c>
    </row>
    <row r="30" spans="1:14">
      <c r="A30" s="9" t="s">
        <v>7</v>
      </c>
      <c r="B30" s="12">
        <f>COUNTIF('Participant Responses'!G2:G1000,"?ery ?ell")</f>
        <v>0</v>
      </c>
      <c r="C30" s="7">
        <f>COUNTIFS('Participant Responses'!G2:G1000,"?ery ?ell",'Participant Responses'!C2:C1000,"m")</f>
        <v>0</v>
      </c>
      <c r="D30" s="4">
        <f>COUNTIFS('Participant Responses'!G2:G1000,"?ery ?ell",'Participant Responses'!C2:C1000,"f")</f>
        <v>0</v>
      </c>
      <c r="E30" s="4">
        <f>COUNTIFS('Participant Responses'!G2:G1000,"?ery ?ell",'Participant Responses'!B2:B1000,"&lt;=4")</f>
        <v>0</v>
      </c>
      <c r="F30" s="4">
        <f>COUNTIFS('Participant Responses'!G2:G1000,"?ery ?ell",'Participant Responses'!B2:B1000,"&gt;=5",'Participant Responses'!B2:B1000,"&lt;=14")</f>
        <v>0</v>
      </c>
      <c r="G30" s="4">
        <f>COUNTIFS('Participant Responses'!G2:G1000,"?ery ?ell",'Participant Responses'!B2:B1000,"&gt;=15",'Participant Responses'!B2:B1000,"&lt;=19")</f>
        <v>0</v>
      </c>
      <c r="H30" s="4">
        <f>COUNTIFS('Participant Responses'!G2:G1000,"?ery ?ell",'Participant Responses'!B2:B1000,"&gt;=20",'Participant Responses'!B2:B1000,"&lt;=24")</f>
        <v>0</v>
      </c>
      <c r="I30" s="4">
        <f>COUNTIFS('Participant Responses'!G2:G1000,"?ery ?ell",'Participant Responses'!B2:B1000,"&gt;=25",'Participant Responses'!B2:B1000,"&lt;=44")</f>
        <v>0</v>
      </c>
      <c r="J30" s="4">
        <f>COUNTIFS('Participant Responses'!G2:G1000,"?ery ?ell",'Participant Responses'!B2:B1000,"&gt;=45",'Participant Responses'!B2:B1000,"&lt;=54")</f>
        <v>0</v>
      </c>
      <c r="K30" s="4">
        <f>COUNTIFS('Participant Responses'!G2:G1000,"?ery ?ell",'Participant Responses'!B2:B1000,"&gt;=55",'Participant Responses'!B2:B1000,"&lt;=64")</f>
        <v>0</v>
      </c>
      <c r="L30" s="4">
        <f>COUNTIFS('Participant Responses'!G2:G1000,"?ery ?ell",'Participant Responses'!B2:B1000,"&gt;=65",'Participant Responses'!B2:B1000,"&lt;=74")</f>
        <v>0</v>
      </c>
      <c r="M30" s="4">
        <f>COUNTIFS('Participant Responses'!G2:G1000,"?ery ?ell",'Participant Responses'!B2:B1000,"&gt;=75",'Participant Responses'!B2:B1000,"&lt;=84")</f>
        <v>0</v>
      </c>
      <c r="N30" s="4">
        <f>COUNTIFS('Participant Responses'!G2:G1000,"?ery ?ell",'Participant Responses'!B2:B1000,"&gt;85")</f>
        <v>0</v>
      </c>
    </row>
    <row r="31" spans="1:14">
      <c r="A31" s="3" t="s">
        <v>8</v>
      </c>
      <c r="B31" s="13">
        <f>COUNTIF('Participant Responses'!G2:G1000,"?nderstand ?ost")</f>
        <v>0</v>
      </c>
      <c r="C31" s="7">
        <f>COUNTIFS('Participant Responses'!G2:G1000,"?nderstand ?ost",'Participant Responses'!C2:C1000,"m")</f>
        <v>0</v>
      </c>
      <c r="D31" s="4">
        <f>COUNTIFS('Participant Responses'!G2:G1000,"?nderstand ?ost",'Participant Responses'!C2:C1000,"f")</f>
        <v>0</v>
      </c>
      <c r="E31" s="4">
        <f>COUNTIFS('Participant Responses'!G2:G1000,"?nderstand ?ost",'Participant Responses'!B2:B1000,"&lt;=4")</f>
        <v>0</v>
      </c>
      <c r="F31" s="4">
        <f>COUNTIFS('Participant Responses'!G2:G1000,"?nderstand ?ost",'Participant Responses'!B2:B1000,"&gt;=5",'Participant Responses'!B2:B1000,"&lt;=14")</f>
        <v>0</v>
      </c>
      <c r="G31" s="4">
        <f>COUNTIFS('Participant Responses'!G2:G1000,"?nderstand ?ost",'Participant Responses'!B2:B1000,"&gt;=15",'Participant Responses'!B2:B1000,"&lt;=19")</f>
        <v>0</v>
      </c>
      <c r="H31" s="4">
        <f>COUNTIFS('Participant Responses'!G2:G1000,"?nderstand ?ost",'Participant Responses'!B2:B1000,"&gt;=20",'Participant Responses'!B2:B1000,"&lt;=24")</f>
        <v>0</v>
      </c>
      <c r="I31" s="4">
        <f>COUNTIFS('Participant Responses'!G2:G1000,"?nderstand ?ost",'Participant Responses'!B2:B1000,"&gt;=25",'Participant Responses'!B2:B1000,"&lt;=44")</f>
        <v>0</v>
      </c>
      <c r="J31" s="4">
        <f>COUNTIFS('Participant Responses'!G2:G1000,"?nderstand ?ost",'Participant Responses'!B2:B1000,"&gt;=45",'Participant Responses'!B2:B1000,"&lt;=54")</f>
        <v>0</v>
      </c>
      <c r="K31" s="4">
        <f>COUNTIFS('Participant Responses'!G2:G1000,"?nderstand ?ost",'Participant Responses'!B2:B1000,"&gt;=55",'Participant Responses'!B2:B1000,"&lt;=64")</f>
        <v>0</v>
      </c>
      <c r="L31" s="4">
        <f>COUNTIFS('Participant Responses'!G2:G1000,"?nderstand ?ost",'Participant Responses'!B2:B1000,"&gt;=65",'Participant Responses'!B2:B1000,"&lt;=74")</f>
        <v>0</v>
      </c>
      <c r="M31" s="4">
        <f>COUNTIFS('Participant Responses'!G2:G1000,"?nderstand ?ost",'Participant Responses'!B2:B1000,"&gt;=75",'Participant Responses'!B2:B1000,"&lt;=84")</f>
        <v>0</v>
      </c>
      <c r="N31" s="4">
        <f>COUNTIFS('Participant Responses'!G2:G1000,"?nderstand ?ost",'Participant Responses'!B2:B1000,"&gt;85")</f>
        <v>0</v>
      </c>
    </row>
    <row r="32" spans="1:14">
      <c r="A32" s="3" t="s">
        <v>9</v>
      </c>
      <c r="B32" s="13">
        <f>COUNTIF('Participant Responses'!G2:G1000,"?nderstand ?ome")</f>
        <v>0</v>
      </c>
      <c r="C32" s="7">
        <f>COUNTIFS('Participant Responses'!G2:G1000,"?nderstand ?ome",'Participant Responses'!C2:C1000,"m")</f>
        <v>0</v>
      </c>
      <c r="D32" s="4">
        <f>COUNTIFS('Participant Responses'!G2:G1000,"?nderstand ?ome",'Participant Responses'!C2:C1000,"f")</f>
        <v>0</v>
      </c>
      <c r="E32" s="4">
        <f>COUNTIFS('Participant Responses'!G2:G1000,"?nderstand ?ome",'Participant Responses'!B2:B1000,"&lt;=4")</f>
        <v>0</v>
      </c>
      <c r="F32" s="4">
        <f>COUNTIFS('Participant Responses'!G2:G1000,"?nderstand ?ome",'Participant Responses'!B2:B1000,"&gt;=5",'Participant Responses'!B2:B1000,"&lt;=14")</f>
        <v>0</v>
      </c>
      <c r="G32" s="4">
        <f>COUNTIFS('Participant Responses'!G2:G1000,"?nderstand ?ome",'Participant Responses'!B2:B1000,"&gt;=15",'Participant Responses'!B2:B1000,"&lt;=19")</f>
        <v>0</v>
      </c>
      <c r="H32" s="4">
        <f>COUNTIFS('Participant Responses'!G2:G1000,"?nderstand ?ome",'Participant Responses'!B2:B1000,"&gt;=20",'Participant Responses'!B2:B1000,"&lt;=24")</f>
        <v>0</v>
      </c>
      <c r="I32" s="4">
        <f>COUNTIFS('Participant Responses'!G2:G1000,"?nderstand ?ome",'Participant Responses'!B2:B1000,"&gt;=25",'Participant Responses'!B2:B1000,"&lt;=44")</f>
        <v>0</v>
      </c>
      <c r="J32" s="4">
        <f>COUNTIFS('Participant Responses'!G2:G1000,"?nderstand ?ome",'Participant Responses'!B2:B1000,"&gt;=45",'Participant Responses'!B2:B1000,"&lt;=54")</f>
        <v>0</v>
      </c>
      <c r="K32" s="4">
        <f>COUNTIFS('Participant Responses'!G2:G1000,"?nderstand ?ome",'Participant Responses'!B2:B1000,"&gt;=55",'Participant Responses'!B2:B1000,"&lt;=64")</f>
        <v>0</v>
      </c>
      <c r="L32" s="4">
        <f>COUNTIFS('Participant Responses'!G2:G1000,"?nderstand ?ome",'Participant Responses'!B2:B1000,"&gt;=65",'Participant Responses'!B2:B1000,"&lt;=74")</f>
        <v>0</v>
      </c>
      <c r="M32" s="4">
        <f>COUNTIFS('Participant Responses'!G2:G1000,"?nderstand ?ome",'Participant Responses'!B2:B1000,"&gt;=75",'Participant Responses'!B2:B1000,"&lt;=84")</f>
        <v>0</v>
      </c>
      <c r="N32" s="4">
        <f>COUNTIFS('Participant Responses'!G2:G1000,"?nderstand ?ome",'Participant Responses'!B2:B1000,"&gt;85")</f>
        <v>0</v>
      </c>
    </row>
    <row r="33" spans="1:14">
      <c r="A33" s="3" t="s">
        <v>5</v>
      </c>
      <c r="B33" s="13">
        <f>COUNTIF('Participant Responses'!G2:G1000,"?ot ?t ?ll")</f>
        <v>0</v>
      </c>
      <c r="C33" s="7">
        <f>COUNTIFS('Participant Responses'!G2:G1000,"?ot ?t ?ll",'Participant Responses'!C2:C1000,"m")</f>
        <v>0</v>
      </c>
      <c r="D33" s="4">
        <f>COUNTIFS('Participant Responses'!G2:G1000,"?ot ?t ?ll",'Participant Responses'!C2:C1000,"f")</f>
        <v>0</v>
      </c>
      <c r="E33" s="4">
        <f>COUNTIFS('Participant Responses'!G2:G1000,"?ot ?t ?ll",'Participant Responses'!B2:B1000,"&lt;=4")</f>
        <v>0</v>
      </c>
      <c r="F33" s="4">
        <f>COUNTIFS('Participant Responses'!G2:G1000,"?ot ?t ?ll",'Participant Responses'!B2:B1000,"&gt;=5",'Participant Responses'!B2:B1000,"&lt;=14")</f>
        <v>0</v>
      </c>
      <c r="G33" s="4">
        <f>COUNTIFS('Participant Responses'!G2:G1000,"?ot ?t ?ll",'Participant Responses'!B2:B1000,"&gt;=15",'Participant Responses'!B2:B1000,"&lt;=19")</f>
        <v>0</v>
      </c>
      <c r="H33" s="4">
        <f>COUNTIFS('Participant Responses'!G2:G1000,"?ot ?t ?ll",'Participant Responses'!B2:B1000,"&gt;=20",'Participant Responses'!B2:B1000,"&lt;=24")</f>
        <v>0</v>
      </c>
      <c r="I33" s="4">
        <f>COUNTIFS('Participant Responses'!G2:G1000,"?ot ?t ?ll",'Participant Responses'!B2:B1000,"&gt;=25",'Participant Responses'!B2:B1000,"&lt;=44")</f>
        <v>0</v>
      </c>
      <c r="J33" s="4">
        <f>COUNTIFS('Participant Responses'!G2:G1000,"?ot ?t ?ll",'Participant Responses'!B2:B1000,"&gt;=45",'Participant Responses'!B2:B1000,"&lt;=54")</f>
        <v>0</v>
      </c>
      <c r="K33" s="4">
        <f>COUNTIFS('Participant Responses'!G2:G1000,"?ot ?t ?ll",'Participant Responses'!B2:B1000,"&gt;=55",'Participant Responses'!B2:B1000,"&lt;=64")</f>
        <v>0</v>
      </c>
      <c r="L33" s="4">
        <f>COUNTIFS('Participant Responses'!G2:G1000,"?ot ?t ?ll",'Participant Responses'!B2:B1000,"&gt;=65",'Participant Responses'!B2:B1000,"&lt;=74")</f>
        <v>0</v>
      </c>
      <c r="M33" s="4">
        <f>COUNTIFS('Participant Responses'!G2:G1000,"?ot ?t ?ll",'Participant Responses'!B2:B1000,"&gt;=75",'Participant Responses'!B2:B1000,"&lt;=84")</f>
        <v>0</v>
      </c>
      <c r="N33" s="4">
        <f>COUNTIFS('Participant Responses'!G2:G1000,"?ot ?t ?ll",'Participant Responses'!B2:B1000,"&gt;85")</f>
        <v>0</v>
      </c>
    </row>
    <row r="34" spans="1:14" ht="27" customHeight="1"/>
    <row r="35" spans="1:14" ht="45">
      <c r="A35" s="8" t="s">
        <v>10</v>
      </c>
      <c r="B35" s="18" t="s">
        <v>64</v>
      </c>
      <c r="C35" s="40" t="s">
        <v>43</v>
      </c>
      <c r="D35" s="33"/>
      <c r="E35" s="33" t="s">
        <v>46</v>
      </c>
      <c r="F35" s="33"/>
      <c r="G35" s="33"/>
      <c r="H35" s="33"/>
      <c r="I35" s="33"/>
      <c r="J35" s="33"/>
      <c r="K35" s="33"/>
      <c r="L35" s="33"/>
      <c r="M35" s="33"/>
      <c r="N35" s="33"/>
    </row>
    <row r="36" spans="1:14">
      <c r="A36" s="14"/>
      <c r="B36" s="19"/>
      <c r="C36" s="17" t="s">
        <v>62</v>
      </c>
      <c r="D36" s="16" t="s">
        <v>63</v>
      </c>
      <c r="E36" s="3" t="s">
        <v>55</v>
      </c>
      <c r="F36" s="3" t="s">
        <v>66</v>
      </c>
      <c r="G36" s="3" t="s">
        <v>56</v>
      </c>
      <c r="H36" s="3" t="s">
        <v>57</v>
      </c>
      <c r="I36" s="3" t="s">
        <v>58</v>
      </c>
      <c r="J36" s="3" t="s">
        <v>59</v>
      </c>
      <c r="K36" s="3" t="s">
        <v>60</v>
      </c>
      <c r="L36" s="3" t="s">
        <v>67</v>
      </c>
      <c r="M36" s="3" t="s">
        <v>61</v>
      </c>
      <c r="N36" s="3" t="s">
        <v>65</v>
      </c>
    </row>
    <row r="37" spans="1:14">
      <c r="A37" s="9" t="s">
        <v>11</v>
      </c>
      <c r="B37" s="12">
        <f>COUNTIF('Participant Responses'!H2:H1000,"y")</f>
        <v>0</v>
      </c>
      <c r="C37" s="7">
        <f>COUNTIFS('Participant Responses'!H2:H1000,"y",'Participant Responses'!$C$2:$C$1000,"m")</f>
        <v>0</v>
      </c>
      <c r="D37" s="4">
        <f>COUNTIFS('Participant Responses'!H2:H1000,"y",'Participant Responses'!$C$2:$C$1000,"f")</f>
        <v>0</v>
      </c>
      <c r="E37" s="4">
        <f>COUNTIFS('Participant Responses'!H2:H1000,"y",'Participant Responses'!$B$2:$B$1000,"&lt;=4")</f>
        <v>0</v>
      </c>
      <c r="F37" s="4">
        <f>COUNTIFS('Participant Responses'!H2:H1000,"y",'Participant Responses'!$B$2:$B$1000,"&gt;=5",'Participant Responses'!$B$2:$B$1000,"&lt;=14")</f>
        <v>0</v>
      </c>
      <c r="G37" s="4">
        <f>COUNTIFS('Participant Responses'!H2:H1000,"y",'Participant Responses'!$B$2:$B$1000,"&gt;=15",'Participant Responses'!$B$2:$B$1000,"&lt;=19")</f>
        <v>0</v>
      </c>
      <c r="H37" s="4">
        <f>COUNTIFS('Participant Responses'!H2:H1000,"y",'Participant Responses'!$B$2:$B$1000,"&gt;=20",'Participant Responses'!$B$2:$B$1000,"&lt;=24")</f>
        <v>0</v>
      </c>
      <c r="I37" s="4">
        <f>COUNTIFS('Participant Responses'!H2:H1000,"y",'Participant Responses'!$B$2:$B$1000,"&gt;=25",'Participant Responses'!$B$2:$B$1000,"&lt;=44")</f>
        <v>0</v>
      </c>
      <c r="J37" s="4">
        <f>COUNTIFS('Participant Responses'!H2:H1000,"y",'Participant Responses'!$B$2:$B$1000,"&gt;=45",'Participant Responses'!$B$2:$B$1000,"&lt;=54")</f>
        <v>0</v>
      </c>
      <c r="K37" s="4">
        <f>COUNTIFS('Participant Responses'!H2:H1000,"y",'Participant Responses'!$B$2:$B$1000,"&gt;=55",'Participant Responses'!$B$2:$B$1000,"&lt;=64")</f>
        <v>0</v>
      </c>
      <c r="L37" s="4">
        <f>COUNTIFS('Participant Responses'!H2:H1000,"y",'Participant Responses'!$B$2:$B$1000,"&gt;=65",'Participant Responses'!$B$2:$B$1000,"&lt;=74")</f>
        <v>0</v>
      </c>
      <c r="M37" s="4">
        <f>COUNTIFS('Participant Responses'!H2:H1000,"y",'Participant Responses'!$B$2:$B$1000,"&gt;=75",'Participant Responses'!$B$2:$B$1000,"&lt;=84")</f>
        <v>0</v>
      </c>
      <c r="N37" s="4">
        <f>COUNTIFS('Participant Responses'!H2:H1000,"y",'Participant Responses'!$B$2:$B$1000,"&gt;85")</f>
        <v>0</v>
      </c>
    </row>
    <row r="38" spans="1:14">
      <c r="A38" s="20" t="s">
        <v>12</v>
      </c>
      <c r="B38" s="21">
        <f>COUNTIF('Participant Responses'!H2:H1000,"n")</f>
        <v>0</v>
      </c>
      <c r="C38" s="22">
        <f>COUNTIFS('Participant Responses'!H2:H1000,"n",'Participant Responses'!C2:C1000,"m")</f>
        <v>0</v>
      </c>
      <c r="D38" s="23">
        <f>COUNTIFS('Participant Responses'!H2:H1000,"n",'Participant Responses'!C2:C1000,"f")</f>
        <v>0</v>
      </c>
      <c r="E38" s="23">
        <f>COUNTIFS('Participant Responses'!H2:H1000,"n",'Participant Responses'!B2:B1000,"&lt;=4")</f>
        <v>0</v>
      </c>
      <c r="F38" s="23">
        <f>COUNTIFS('Participant Responses'!H2:H1000,"n",'Participant Responses'!B2:B1000,"&gt;=5",'Participant Responses'!B2:B1000,"&lt;=14")</f>
        <v>0</v>
      </c>
      <c r="G38" s="23">
        <f>COUNTIFS('Participant Responses'!H2:H1000,"n",'Participant Responses'!B2:B1000,"&gt;=15",'Participant Responses'!B2:B1000,"&lt;=19")</f>
        <v>0</v>
      </c>
      <c r="H38" s="23">
        <f>COUNTIFS('Participant Responses'!H2:H1000,"n",'Participant Responses'!B2:B1000,"&gt;=20",'Participant Responses'!B2:B1000,"&lt;=24")</f>
        <v>0</v>
      </c>
      <c r="I38" s="23">
        <f>COUNTIFS('Participant Responses'!H2:H1000,"n",'Participant Responses'!B2:B1000,"&gt;=25",'Participant Responses'!B2:B1000,"&lt;=44")</f>
        <v>0</v>
      </c>
      <c r="J38" s="23">
        <f>COUNTIFS('Participant Responses'!H2:H1000,"n",'Participant Responses'!B2:B1000,"&gt;=45",'Participant Responses'!B2:B1000,"&lt;=54")</f>
        <v>0</v>
      </c>
      <c r="K38" s="23">
        <f>COUNTIFS('Participant Responses'!H2:H1000,"n",'Participant Responses'!B2:B1000,"&gt;=55",'Participant Responses'!B2:B1000,"&lt;=64")</f>
        <v>0</v>
      </c>
      <c r="L38" s="23">
        <f>COUNTIFS('Participant Responses'!H2:H1000,"n",'Participant Responses'!B2:B1000,"&gt;=65",'Participant Responses'!B2:B1000,"&lt;=74")</f>
        <v>0</v>
      </c>
      <c r="M38" s="23">
        <f>COUNTIFS('Participant Responses'!H2:H1000,"n",'Participant Responses'!B2:B1000,"&gt;=75",'Participant Responses'!B2:B1000,"&lt;=84")</f>
        <v>0</v>
      </c>
      <c r="N38" s="23">
        <f>COUNTIFS('Participant Responses'!H2:H1000,"n",'Participant Responses'!B2:B1000,"&gt;85")</f>
        <v>0</v>
      </c>
    </row>
    <row r="39" spans="1:14">
      <c r="A39" s="24"/>
      <c r="B39" s="25"/>
      <c r="C39" s="25"/>
      <c r="D39" s="25"/>
      <c r="E39" s="25"/>
      <c r="F39" s="25"/>
      <c r="G39" s="25"/>
      <c r="H39" s="25"/>
      <c r="I39" s="25"/>
      <c r="J39" s="25"/>
      <c r="K39" s="25"/>
      <c r="L39" s="25"/>
      <c r="M39" s="25"/>
      <c r="N39" s="25"/>
    </row>
    <row r="40" spans="1:14" ht="60">
      <c r="A40" s="6" t="s">
        <v>20</v>
      </c>
      <c r="B40" s="26" t="s">
        <v>64</v>
      </c>
      <c r="C40" s="40" t="s">
        <v>43</v>
      </c>
      <c r="D40" s="33"/>
      <c r="E40" s="33" t="s">
        <v>46</v>
      </c>
      <c r="F40" s="33"/>
      <c r="G40" s="33"/>
      <c r="H40" s="33"/>
      <c r="I40" s="33"/>
      <c r="J40" s="33"/>
      <c r="K40" s="33"/>
      <c r="L40" s="33"/>
      <c r="M40" s="33"/>
      <c r="N40" s="33"/>
    </row>
    <row r="41" spans="1:14">
      <c r="A41" s="6"/>
      <c r="B41" s="27"/>
      <c r="C41" s="17" t="s">
        <v>62</v>
      </c>
      <c r="D41" s="16" t="s">
        <v>63</v>
      </c>
      <c r="E41" s="3" t="s">
        <v>55</v>
      </c>
      <c r="F41" s="3" t="s">
        <v>66</v>
      </c>
      <c r="G41" s="3" t="s">
        <v>56</v>
      </c>
      <c r="H41" s="3" t="s">
        <v>57</v>
      </c>
      <c r="I41" s="3" t="s">
        <v>58</v>
      </c>
      <c r="J41" s="3" t="s">
        <v>59</v>
      </c>
      <c r="K41" s="3" t="s">
        <v>60</v>
      </c>
      <c r="L41" s="3" t="s">
        <v>67</v>
      </c>
      <c r="M41" s="3" t="s">
        <v>61</v>
      </c>
      <c r="N41" s="3" t="s">
        <v>65</v>
      </c>
    </row>
    <row r="42" spans="1:14">
      <c r="A42" s="3">
        <v>0</v>
      </c>
      <c r="B42" s="13">
        <f>COUNTIF('Participant Responses'!I2:I1000,"0")</f>
        <v>0</v>
      </c>
      <c r="C42" s="7">
        <f>COUNTIFS('Participant Responses'!I2:I1000,"0",'Participant Responses'!$C$2:$C$1000,"m")</f>
        <v>0</v>
      </c>
      <c r="D42" s="4">
        <f>COUNTIFS('Participant Responses'!I2:I1000,"0",'Participant Responses'!$C$2:$C$1000,"f")</f>
        <v>0</v>
      </c>
      <c r="E42" s="4">
        <f>COUNTIFS('Participant Responses'!I2:I1000,"0",'Participant Responses'!$B$2:$B$1000,"&lt;=4")</f>
        <v>0</v>
      </c>
      <c r="F42" s="4">
        <f>COUNTIFS('Participant Responses'!I2:I1000,"0",'Participant Responses'!$B$2:$B$1000,"&gt;=5",'Participant Responses'!$B$2:$B$1000,"&lt;=14")</f>
        <v>0</v>
      </c>
      <c r="G42" s="4">
        <f>COUNTIFS('Participant Responses'!I2:I1000,"0",'Participant Responses'!$B$2:$B$1000,"&gt;=15",'Participant Responses'!$B$2:$B$1000,"&lt;=19")</f>
        <v>0</v>
      </c>
      <c r="H42" s="4">
        <f>COUNTIFS('Participant Responses'!I2:I1000,"0",'Participant Responses'!$B$2:$B$1000,"&gt;=20",'Participant Responses'!$B$2:$B$1000,"&lt;=24")</f>
        <v>0</v>
      </c>
      <c r="I42" s="4">
        <f>COUNTIFS('Participant Responses'!I2:I1000,"0",'Participant Responses'!$B$2:$B$1000,"&gt;=25",'Participant Responses'!$B$2:$B$1000,"&lt;=44")</f>
        <v>0</v>
      </c>
      <c r="J42" s="4">
        <f>COUNTIFS('Participant Responses'!I2:I1000,"0",'Participant Responses'!$B$2:$B$1000,"&gt;=45",'Participant Responses'!$B$2:$B$1000,"&lt;=54")</f>
        <v>0</v>
      </c>
      <c r="K42" s="4">
        <f>COUNTIFS('Participant Responses'!I2:I1000,"0",'Participant Responses'!$B$2:$B$1000,"&gt;=55",'Participant Responses'!$B$2:$B$1000,"&lt;=64")</f>
        <v>0</v>
      </c>
      <c r="L42" s="4">
        <f>COUNTIFS('Participant Responses'!I2:I1000,"0",'Participant Responses'!$B$2:$B$1000,"&gt;=65",'Participant Responses'!$B$2:$B$1000,"&lt;=74")</f>
        <v>0</v>
      </c>
      <c r="M42" s="4">
        <f>COUNTIFS('Participant Responses'!I2:I1000,"0",'Participant Responses'!$B$2:$B$1000,"&gt;=75",'Participant Responses'!$B$2:$B$1000,"&lt;=84")</f>
        <v>0</v>
      </c>
      <c r="N42" s="4">
        <f>COUNTIFS('Participant Responses'!I2:I1000,"0",'Participant Responses'!$B$2:$B$1000,"&gt;85")</f>
        <v>0</v>
      </c>
    </row>
    <row r="43" spans="1:14">
      <c r="A43" s="3" t="s">
        <v>19</v>
      </c>
      <c r="B43" s="13">
        <f>COUNTIF('Participant Responses'!I2:I1000,"0*-*20")</f>
        <v>0</v>
      </c>
      <c r="C43" s="7">
        <f>COUNTIFS('Participant Responses'!I2:I1000,"0*-*20",'Participant Responses'!$C$2:$C$1000,"m")</f>
        <v>0</v>
      </c>
      <c r="D43" s="4">
        <f>COUNTIFS('Participant Responses'!I2:I1000,"0*-*20",'Participant Responses'!$C$2:$C$1000,"f")</f>
        <v>0</v>
      </c>
      <c r="E43" s="4">
        <f>COUNTIFS('Participant Responses'!I2:I1000,"0*-*20",'Participant Responses'!$B$2:$B$1000,"&lt;=4")</f>
        <v>0</v>
      </c>
      <c r="F43" s="4">
        <f>COUNTIFS('Participant Responses'!I2:I1000,"0*-*20",'Participant Responses'!$B$2:$B$1000,"&gt;=5",'Participant Responses'!$B$2:$B$1000,"&lt;=14")</f>
        <v>0</v>
      </c>
      <c r="G43" s="4">
        <f>COUNTIFS('Participant Responses'!I2:I1000,"0*-*20",'Participant Responses'!$B$2:$B$1000,"&gt;=15",'Participant Responses'!$B$2:$B$1000,"&lt;=19")</f>
        <v>0</v>
      </c>
      <c r="H43" s="4">
        <f>COUNTIFS('Participant Responses'!I2:I1000,"0*-*20",'Participant Responses'!$B$2:$B$1000,"&gt;=20",'Participant Responses'!$B$2:$B$1000,"&lt;=24")</f>
        <v>0</v>
      </c>
      <c r="I43" s="4">
        <f>COUNTIFS('Participant Responses'!I2:I1000,"0*-*20",'Participant Responses'!$B$2:$B$1000,"&gt;=25",'Participant Responses'!$B$2:$B$1000,"&lt;=44")</f>
        <v>0</v>
      </c>
      <c r="J43" s="4">
        <f>COUNTIFS('Participant Responses'!I2:I1000,"0*-*20",'Participant Responses'!$B$2:$B$1000,"&gt;=45",'Participant Responses'!$B$2:$B$1000,"&lt;=54")</f>
        <v>0</v>
      </c>
      <c r="K43" s="4">
        <f>COUNTIFS('Participant Responses'!I2:I1000,"0*-*20",'Participant Responses'!$B$2:$B$1000,"&gt;=55",'Participant Responses'!$B$2:$B$1000,"&lt;=64")</f>
        <v>0</v>
      </c>
      <c r="L43" s="4">
        <f>COUNTIFS('Participant Responses'!I2:I1000,"0*-*20",'Participant Responses'!$B$2:$B$1000,"&gt;=65",'Participant Responses'!$B$2:$B$1000,"&lt;=74")</f>
        <v>0</v>
      </c>
      <c r="M43" s="4">
        <f>COUNTIFS('Participant Responses'!I2:I1000,"0*-*20",'Participant Responses'!$B$2:$B$1000,"&gt;=75",'Participant Responses'!$B$2:$B$1000,"&lt;=84")</f>
        <v>0</v>
      </c>
      <c r="N43" s="4">
        <f>COUNTIFS('Participant Responses'!I2:I1000,"0*-*20",'Participant Responses'!$B$2:$B$1000,"&gt;85")</f>
        <v>0</v>
      </c>
    </row>
    <row r="44" spans="1:14">
      <c r="A44" s="3" t="s">
        <v>13</v>
      </c>
      <c r="B44" s="13">
        <f>COUNTIF('Participant Responses'!I2:I1000,"21*-*40")</f>
        <v>0</v>
      </c>
      <c r="C44" s="7">
        <f>COUNTIFS('Participant Responses'!I2:I1000,"21*-*40",'Participant Responses'!$C$2:$C$1000,"m")</f>
        <v>0</v>
      </c>
      <c r="D44" s="4">
        <f>COUNTIFS('Participant Responses'!I2:I1000,"21*-*40",'Participant Responses'!$C$2:$C$1000,"f")</f>
        <v>0</v>
      </c>
      <c r="E44" s="4">
        <f>COUNTIFS('Participant Responses'!I2:I1000,"21*-*40",'Participant Responses'!$B$2:$B$1000,"&lt;=4")</f>
        <v>0</v>
      </c>
      <c r="F44" s="4">
        <f>COUNTIFS('Participant Responses'!I2:I1000,"21*-*40",'Participant Responses'!$B$2:$B$1000,"&gt;=5",'Participant Responses'!$B$2:$B$1000,"&lt;=14")</f>
        <v>0</v>
      </c>
      <c r="G44" s="4">
        <f>COUNTIFS('Participant Responses'!I2:I1000,"21*-*40",'Participant Responses'!$B$2:$B$1000,"&gt;=15",'Participant Responses'!$B$2:$B$1000,"&lt;=19")</f>
        <v>0</v>
      </c>
      <c r="H44" s="4">
        <f>COUNTIFS('Participant Responses'!I2:I1000,"21*-*40",'Participant Responses'!$B$2:$B$1000,"&gt;=20",'Participant Responses'!$B$2:$B$1000,"&lt;=24")</f>
        <v>0</v>
      </c>
      <c r="I44" s="4">
        <f>COUNTIFS('Participant Responses'!I2:I1000,"21*-*40",'Participant Responses'!$B$2:$B$1000,"&gt;=25",'Participant Responses'!$B$2:$B$1000,"&lt;=44")</f>
        <v>0</v>
      </c>
      <c r="J44" s="4">
        <f>COUNTIFS('Participant Responses'!I2:I1000,"21*-*40",'Participant Responses'!$B$2:$B$1000,"&gt;=45",'Participant Responses'!$B$2:$B$1000,"&lt;=54")</f>
        <v>0</v>
      </c>
      <c r="K44" s="4">
        <f>COUNTIFS('Participant Responses'!I2:I1000,"21*-*40",'Participant Responses'!$B$2:$B$1000,"&gt;=55",'Participant Responses'!$B$2:$B$1000,"&lt;=64")</f>
        <v>0</v>
      </c>
      <c r="L44" s="4">
        <f>COUNTIFS('Participant Responses'!I2:I1000,"21*-*40",'Participant Responses'!$B$2:$B$1000,"&gt;=65",'Participant Responses'!$B$2:$B$1000,"&lt;=74")</f>
        <v>0</v>
      </c>
      <c r="M44" s="4">
        <f>COUNTIFS('Participant Responses'!I2:I1000,"21*-*40",'Participant Responses'!$B$2:$B$1000,"&gt;=75",'Participant Responses'!$B$2:$B$1000,"&lt;=84")</f>
        <v>0</v>
      </c>
      <c r="N44" s="4">
        <f>COUNTIFS('Participant Responses'!I2:I1000,"21*-*40",'Participant Responses'!$B$2:$B$1000,"&gt;85")</f>
        <v>0</v>
      </c>
    </row>
    <row r="45" spans="1:14">
      <c r="A45" s="3" t="s">
        <v>14</v>
      </c>
      <c r="B45" s="13">
        <f>COUNTIF('Participant Responses'!I2:I1000,"41*-*100")</f>
        <v>0</v>
      </c>
      <c r="C45" s="7">
        <f>COUNTIFS('Participant Responses'!I2:I1000,"41*-*100",'Participant Responses'!$C$2:$C$1000,"m")</f>
        <v>0</v>
      </c>
      <c r="D45" s="4">
        <f>COUNTIFS('Participant Responses'!I2:I1000,"41*-*100",'Participant Responses'!$C$2:$C$1000,"f")</f>
        <v>0</v>
      </c>
      <c r="E45" s="4">
        <f>COUNTIFS('Participant Responses'!I2:I1000,"41*-*100",'Participant Responses'!$B$2:$B$1000,"&lt;=4")</f>
        <v>0</v>
      </c>
      <c r="F45" s="4">
        <f>COUNTIFS('Participant Responses'!I2:I1000,"41*-*100",'Participant Responses'!$B$2:$B$1000,"&gt;=5",'Participant Responses'!$B$2:$B$1000,"&lt;=14")</f>
        <v>0</v>
      </c>
      <c r="G45" s="4">
        <f>COUNTIFS('Participant Responses'!I2:I1000,"41*-*100",'Participant Responses'!$B$2:$B$1000,"&gt;=15",'Participant Responses'!$B$2:$B$1000,"&lt;=19")</f>
        <v>0</v>
      </c>
      <c r="H45" s="4">
        <f>COUNTIFS('Participant Responses'!I2:I1000,"41*-*100",'Participant Responses'!$B$2:$B$1000,"&gt;=20",'Participant Responses'!$B$2:$B$1000,"&lt;=24")</f>
        <v>0</v>
      </c>
      <c r="I45" s="4">
        <f>COUNTIFS('Participant Responses'!I2:I1000,"41*-*100",'Participant Responses'!$B$2:$B$1000,"&gt;=25",'Participant Responses'!$B$2:$B$1000,"&lt;=44")</f>
        <v>0</v>
      </c>
      <c r="J45" s="4">
        <f>COUNTIFS('Participant Responses'!I2:I1000,"41*-*100",'Participant Responses'!$B$2:$B$1000,"&gt;=45",'Participant Responses'!$B$2:$B$1000,"&lt;=54")</f>
        <v>0</v>
      </c>
      <c r="K45" s="4">
        <f>COUNTIFS('Participant Responses'!I2:I1000,"41*-*100",'Participant Responses'!$B$2:$B$1000,"&gt;=55",'Participant Responses'!$B$2:$B$1000,"&lt;=64")</f>
        <v>0</v>
      </c>
      <c r="L45" s="4">
        <f>COUNTIFS('Participant Responses'!I2:I1000,"41*-*100",'Participant Responses'!$B$2:$B$1000,"&gt;=65",'Participant Responses'!$B$2:$B$1000,"&lt;=74")</f>
        <v>0</v>
      </c>
      <c r="M45" s="4">
        <f>COUNTIFS('Participant Responses'!I2:I1000,"41*-*100",'Participant Responses'!$B$2:$B$1000,"&gt;=75",'Participant Responses'!$B$2:$B$1000,"&lt;=84")</f>
        <v>0</v>
      </c>
      <c r="N45" s="4">
        <f>COUNTIFS('Participant Responses'!I2:I1000,"41*-*100",'Participant Responses'!$B$2:$B$1000,"&gt;85")</f>
        <v>0</v>
      </c>
    </row>
    <row r="46" spans="1:14">
      <c r="A46" s="3" t="s">
        <v>15</v>
      </c>
      <c r="B46" s="13">
        <f>COUNTIF('Participant Responses'!I2:I1000,"101*-*200")</f>
        <v>0</v>
      </c>
      <c r="C46" s="7">
        <f>COUNTIFS('Participant Responses'!I2:I1000,"101*-*200",'Participant Responses'!$C$2:$C$1000,"m")</f>
        <v>0</v>
      </c>
      <c r="D46" s="4">
        <f>COUNTIFS('Participant Responses'!I2:I1000,"101*-*200",'Participant Responses'!$C$2:$C$1000,"f")</f>
        <v>0</v>
      </c>
      <c r="E46" s="4">
        <f>COUNTIFS('Participant Responses'!I2:I1000,"101*-*200",'Participant Responses'!$B$2:$B$1000,"&lt;=4")</f>
        <v>0</v>
      </c>
      <c r="F46" s="4">
        <f>COUNTIFS('Participant Responses'!I2:I1000,"101*-*200",'Participant Responses'!$B$2:$B$1000,"&gt;=5",'Participant Responses'!$B$2:$B$1000,"&lt;=14")</f>
        <v>0</v>
      </c>
      <c r="G46" s="4">
        <f>COUNTIFS('Participant Responses'!I2:I1000,"101*-*200",'Participant Responses'!$B$2:$B$1000,"&gt;=15",'Participant Responses'!$B$2:$B$1000,"&lt;=19")</f>
        <v>0</v>
      </c>
      <c r="H46" s="4">
        <f>COUNTIFS('Participant Responses'!I2:I1000,"101*-*200",'Participant Responses'!$B$2:$B$1000,"&gt;=20",'Participant Responses'!$B$2:$B$1000,"&lt;=24")</f>
        <v>0</v>
      </c>
      <c r="I46" s="4">
        <f>COUNTIFS('Participant Responses'!I2:I1000,"101*-*200",'Participant Responses'!$B$2:$B$1000,"&gt;=25",'Participant Responses'!$B$2:$B$1000,"&lt;=44")</f>
        <v>0</v>
      </c>
      <c r="J46" s="4">
        <f>COUNTIFS('Participant Responses'!I2:I1000,"101*-*200",'Participant Responses'!$B$2:$B$1000,"&gt;=45",'Participant Responses'!$B$2:$B$1000,"&lt;=54")</f>
        <v>0</v>
      </c>
      <c r="K46" s="4">
        <f>COUNTIFS('Participant Responses'!I2:I1000,"101*-*200",'Participant Responses'!$B$2:$B$1000,"&gt;=55",'Participant Responses'!$B$2:$B$1000,"&lt;=64")</f>
        <v>0</v>
      </c>
      <c r="L46" s="4">
        <f>COUNTIFS('Participant Responses'!I2:I1000,"101*-*200",'Participant Responses'!$B$2:$B$1000,"&gt;=65",'Participant Responses'!$B$2:$B$1000,"&lt;=74")</f>
        <v>0</v>
      </c>
      <c r="M46" s="4">
        <f>COUNTIFS('Participant Responses'!I2:I1000,"101*-*200",'Participant Responses'!$B$2:$B$1000,"&gt;=75",'Participant Responses'!$B$2:$B$1000,"&lt;=84")</f>
        <v>0</v>
      </c>
      <c r="N46" s="4">
        <f>COUNTIFS('Participant Responses'!I2:I1000,"101*-*200",'Participant Responses'!$B$2:$B$1000,"&gt;85")</f>
        <v>0</v>
      </c>
    </row>
    <row r="47" spans="1:14">
      <c r="A47" s="3" t="s">
        <v>16</v>
      </c>
      <c r="B47" s="13">
        <f>COUNTIF('Participant Responses'!I2:I1000,"201*-*300")</f>
        <v>0</v>
      </c>
      <c r="C47" s="7">
        <f>COUNTIFS('Participant Responses'!I2:I1000,"201*-*300",'Participant Responses'!$C$2:$C$1000,"m")</f>
        <v>0</v>
      </c>
      <c r="D47" s="4">
        <f>COUNTIFS('Participant Responses'!I2:I1000,"201*-*300",'Participant Responses'!$C$2:$C$1000,"f")</f>
        <v>0</v>
      </c>
      <c r="E47" s="4">
        <f>COUNTIFS('Participant Responses'!I2:I1000,"201*-*300",'Participant Responses'!$B$2:$B$1000,"&lt;=4")</f>
        <v>0</v>
      </c>
      <c r="F47" s="4">
        <f>COUNTIFS('Participant Responses'!I2:I1000,"201*-*300",'Participant Responses'!$B$2:$B$1000,"&gt;=5",'Participant Responses'!$B$2:$B$1000,"&lt;=14")</f>
        <v>0</v>
      </c>
      <c r="G47" s="4">
        <f>COUNTIFS('Participant Responses'!I2:I1000,"201*-*300",'Participant Responses'!$B$2:$B$1000,"&gt;=15",'Participant Responses'!$B$2:$B$1000,"&lt;=19")</f>
        <v>0</v>
      </c>
      <c r="H47" s="4">
        <f>COUNTIFS('Participant Responses'!I2:I1000,"201*-*300",'Participant Responses'!$B$2:$B$1000,"&gt;=20",'Participant Responses'!$B$2:$B$1000,"&lt;=24")</f>
        <v>0</v>
      </c>
      <c r="I47" s="4">
        <f>COUNTIFS('Participant Responses'!I2:I1000,"201*-*300",'Participant Responses'!$B$2:$B$1000,"&gt;=25",'Participant Responses'!$B$2:$B$1000,"&lt;=44")</f>
        <v>0</v>
      </c>
      <c r="J47" s="4">
        <f>COUNTIFS('Participant Responses'!I2:I1000,"201*-*300",'Participant Responses'!$B$2:$B$1000,"&gt;=45",'Participant Responses'!$B$2:$B$1000,"&lt;=54")</f>
        <v>0</v>
      </c>
      <c r="K47" s="4">
        <f>COUNTIFS('Participant Responses'!I2:I1000,"201*-*300",'Participant Responses'!$B$2:$B$1000,"&gt;=55",'Participant Responses'!$B$2:$B$1000,"&lt;=64")</f>
        <v>0</v>
      </c>
      <c r="L47" s="4">
        <f>COUNTIFS('Participant Responses'!I2:I1000,"201*-*300",'Participant Responses'!$B$2:$B$1000,"&gt;=65",'Participant Responses'!$B$2:$B$1000,"&lt;=74")</f>
        <v>0</v>
      </c>
      <c r="M47" s="4">
        <f>COUNTIFS('Participant Responses'!I2:I1000,"201*-*300",'Participant Responses'!$B$2:$B$1000,"&gt;=75",'Participant Responses'!$B$2:$B$1000,"&lt;=84")</f>
        <v>0</v>
      </c>
      <c r="N47" s="4">
        <f>COUNTIFS('Participant Responses'!I2:I1000,"201*-*300",'Participant Responses'!$B$2:$B$1000,"&gt;85")</f>
        <v>0</v>
      </c>
    </row>
    <row r="48" spans="1:14">
      <c r="A48" s="3" t="s">
        <v>17</v>
      </c>
      <c r="B48" s="13">
        <f>COUNTIF('Participant Responses'!I2:I1000,"301*-*400")</f>
        <v>0</v>
      </c>
      <c r="C48" s="7">
        <f>COUNTIFS('Participant Responses'!I2:I1000,"301*-*400",'Participant Responses'!$C$2:$C$1000,"m")</f>
        <v>0</v>
      </c>
      <c r="D48" s="4">
        <f>COUNTIFS('Participant Responses'!I2:I1000,"301*-*400",'Participant Responses'!$C$2:$C$1000,"f")</f>
        <v>0</v>
      </c>
      <c r="E48" s="4">
        <f>COUNTIFS('Participant Responses'!I2:I1000,"301*-*400",'Participant Responses'!$B$2:$B$1000,"&lt;=4")</f>
        <v>0</v>
      </c>
      <c r="F48" s="4">
        <f>COUNTIFS('Participant Responses'!I2:I1000,"301*-*400",'Participant Responses'!$B$2:$B$1000,"&gt;=5",'Participant Responses'!$B$2:$B$1000,"&lt;=14")</f>
        <v>0</v>
      </c>
      <c r="G48" s="4">
        <f>COUNTIFS('Participant Responses'!I2:I1000,"301*-*400",'Participant Responses'!$B$2:$B$1000,"&gt;=15",'Participant Responses'!$B$2:$B$1000,"&lt;=19")</f>
        <v>0</v>
      </c>
      <c r="H48" s="4">
        <f>COUNTIFS('Participant Responses'!I2:I1000,"301*-*400",'Participant Responses'!$B$2:$B$1000,"&gt;=20",'Participant Responses'!$B$2:$B$1000,"&lt;=24")</f>
        <v>0</v>
      </c>
      <c r="I48" s="4">
        <f>COUNTIFS('Participant Responses'!I2:I1000,"301*-*400",'Participant Responses'!$B$2:$B$1000,"&gt;=25",'Participant Responses'!$B$2:$B$1000,"&lt;=44")</f>
        <v>0</v>
      </c>
      <c r="J48" s="4">
        <f>COUNTIFS('Participant Responses'!I2:I1000,"301*-*400",'Participant Responses'!$B$2:$B$1000,"&gt;=45",'Participant Responses'!$B$2:$B$1000,"&lt;=54")</f>
        <v>0</v>
      </c>
      <c r="K48" s="4">
        <f>COUNTIFS('Participant Responses'!I2:I1000,"301*-*400",'Participant Responses'!$B$2:$B$1000,"&gt;=55",'Participant Responses'!$B$2:$B$1000,"&lt;=64")</f>
        <v>0</v>
      </c>
      <c r="L48" s="4">
        <f>COUNTIFS('Participant Responses'!I2:I1000,"301*-*400",'Participant Responses'!$B$2:$B$1000,"&gt;=65",'Participant Responses'!$B$2:$B$1000,"&lt;=74")</f>
        <v>0</v>
      </c>
      <c r="M48" s="4">
        <f>COUNTIFS('Participant Responses'!I2:I1000,"301*-*400",'Participant Responses'!$B$2:$B$1000,"&gt;=75",'Participant Responses'!$B$2:$B$1000,"&lt;=84")</f>
        <v>0</v>
      </c>
      <c r="N48" s="4">
        <f>COUNTIFS('Participant Responses'!I2:I1000,"301*-*400",'Participant Responses'!$B$2:$B$1000,"&gt;85")</f>
        <v>0</v>
      </c>
    </row>
    <row r="49" spans="1:14">
      <c r="A49" s="3" t="s">
        <v>18</v>
      </c>
      <c r="B49" s="13">
        <f>COUNTIF('Participant Responses'!I2:I1000,"?ver 400")</f>
        <v>0</v>
      </c>
      <c r="C49" s="7">
        <f>COUNTIFS('Participant Responses'!I2:I1000,"?ver 400",'Participant Responses'!$C$2:$C$1000,"m")</f>
        <v>0</v>
      </c>
      <c r="D49" s="4">
        <f>COUNTIFS('Participant Responses'!I2:I1000,"?ver 400",'Participant Responses'!$C$2:$C$1000,"f")</f>
        <v>0</v>
      </c>
      <c r="E49" s="4">
        <f>COUNTIFS('Participant Responses'!I2:I1000,"?ver 400",'Participant Responses'!$B$2:$B$1000,"&lt;=4")</f>
        <v>0</v>
      </c>
      <c r="F49" s="4">
        <f>COUNTIFS('Participant Responses'!I2:I1000,"?ver 400",'Participant Responses'!$B$2:$B$1000,"&gt;=5",'Participant Responses'!$B$2:$B$1000,"&lt;=14")</f>
        <v>0</v>
      </c>
      <c r="G49" s="4">
        <f>COUNTIFS('Participant Responses'!I2:I1000,"?ver 400",'Participant Responses'!$B$2:$B$1000,"&gt;=15",'Participant Responses'!$B$2:$B$1000,"&lt;=19")</f>
        <v>0</v>
      </c>
      <c r="H49" s="4">
        <f>COUNTIFS('Participant Responses'!I2:I1000,"?ver 400",'Participant Responses'!$B$2:$B$1000,"&gt;=20",'Participant Responses'!$B$2:$B$1000,"&lt;=24")</f>
        <v>0</v>
      </c>
      <c r="I49" s="4">
        <f>COUNTIFS('Participant Responses'!I2:I1000,"?ver 400",'Participant Responses'!$B$2:$B$1000,"&gt;=25",'Participant Responses'!$B$2:$B$1000,"&lt;=44")</f>
        <v>0</v>
      </c>
      <c r="J49" s="4">
        <f>COUNTIFS('Participant Responses'!I2:I1000,"?ver 400",'Participant Responses'!$B$2:$B$1000,"&gt;=45",'Participant Responses'!$B$2:$B$1000,"&lt;=54")</f>
        <v>0</v>
      </c>
      <c r="K49" s="4">
        <f>COUNTIFS('Participant Responses'!I2:I1000,"?ver 400",'Participant Responses'!$B$2:$B$1000,"&gt;=55",'Participant Responses'!$B$2:$B$1000,"&lt;=64")</f>
        <v>0</v>
      </c>
      <c r="L49" s="4">
        <f>COUNTIFS('Participant Responses'!I2:I1000,"?ver 400",'Participant Responses'!$B$2:$B$1000,"&gt;=65",'Participant Responses'!$B$2:$B$1000,"&lt;=74")</f>
        <v>0</v>
      </c>
      <c r="M49" s="4">
        <f>COUNTIFS('Participant Responses'!I2:I1000,"?ver 400",'Participant Responses'!$B$2:$B$1000,"&gt;=75",'Participant Responses'!$B$2:$B$1000,"&lt;=84")</f>
        <v>0</v>
      </c>
      <c r="N49" s="4">
        <f>COUNTIFS('Participant Responses'!I2:I1000,"?ver 400",'Participant Responses'!$B$2:$B$1000,"&gt;85")</f>
        <v>0</v>
      </c>
    </row>
    <row r="50" spans="1:14" ht="16" customHeight="1"/>
    <row r="51" spans="1:14" ht="60">
      <c r="A51" s="6" t="s">
        <v>21</v>
      </c>
      <c r="B51" s="26" t="s">
        <v>64</v>
      </c>
      <c r="C51" s="40" t="s">
        <v>43</v>
      </c>
      <c r="D51" s="33"/>
      <c r="E51" s="33" t="s">
        <v>46</v>
      </c>
      <c r="F51" s="33"/>
      <c r="G51" s="33"/>
      <c r="H51" s="33"/>
      <c r="I51" s="33"/>
      <c r="J51" s="33"/>
      <c r="K51" s="33"/>
      <c r="L51" s="33"/>
      <c r="M51" s="33"/>
      <c r="N51" s="33"/>
    </row>
    <row r="52" spans="1:14">
      <c r="A52" s="6"/>
      <c r="B52" s="27"/>
      <c r="C52" s="17" t="s">
        <v>62</v>
      </c>
      <c r="D52" s="16" t="s">
        <v>63</v>
      </c>
      <c r="E52" s="3" t="s">
        <v>55</v>
      </c>
      <c r="F52" s="3" t="s">
        <v>66</v>
      </c>
      <c r="G52" s="3" t="s">
        <v>56</v>
      </c>
      <c r="H52" s="3" t="s">
        <v>57</v>
      </c>
      <c r="I52" s="3" t="s">
        <v>58</v>
      </c>
      <c r="J52" s="3" t="s">
        <v>59</v>
      </c>
      <c r="K52" s="3" t="s">
        <v>60</v>
      </c>
      <c r="L52" s="3" t="s">
        <v>67</v>
      </c>
      <c r="M52" s="3" t="s">
        <v>61</v>
      </c>
      <c r="N52" s="3" t="s">
        <v>65</v>
      </c>
    </row>
    <row r="53" spans="1:14">
      <c r="A53" s="3">
        <v>0</v>
      </c>
      <c r="B53" s="13">
        <f>COUNTIF('Participant Responses'!J2:J1000,"0")</f>
        <v>0</v>
      </c>
      <c r="C53" s="7">
        <f>COUNTIFS('Participant Responses'!J2:J1000,"0",'Participant Responses'!$C$2:$C$1000,"m")</f>
        <v>0</v>
      </c>
      <c r="D53" s="4">
        <f>COUNTIFS('Participant Responses'!J2:J1000,"0",'Participant Responses'!$C$2:$C$1000,"f")</f>
        <v>0</v>
      </c>
      <c r="E53" s="4">
        <f>COUNTIFS('Participant Responses'!J2:J1000,"0",'Participant Responses'!$B$2:$B$1000,"&lt;=4")</f>
        <v>0</v>
      </c>
      <c r="F53" s="4">
        <f>COUNTIFS('Participant Responses'!J2:J1000,"0",'Participant Responses'!$B$2:$B$1000,"&gt;=5",'Participant Responses'!$B$2:$B$1000,"&lt;=14")</f>
        <v>0</v>
      </c>
      <c r="G53" s="4">
        <f>COUNTIFS('Participant Responses'!J2:J1000,"0",'Participant Responses'!$B$2:$B$1000,"&gt;=15",'Participant Responses'!$B$2:$B$1000,"&lt;=19")</f>
        <v>0</v>
      </c>
      <c r="H53" s="4">
        <f>COUNTIFS('Participant Responses'!J2:J1000,"0",'Participant Responses'!$B$2:$B$1000,"&gt;=20",'Participant Responses'!$B$2:$B$1000,"&lt;=24")</f>
        <v>0</v>
      </c>
      <c r="I53" s="4">
        <f>COUNTIFS('Participant Responses'!J2:J1000,"0",'Participant Responses'!$B$2:$B$1000,"&gt;=25",'Participant Responses'!$B$2:$B$1000,"&lt;=44")</f>
        <v>0</v>
      </c>
      <c r="J53" s="4">
        <f>COUNTIFS('Participant Responses'!J2:J1000,"0",'Participant Responses'!$B$2:$B$1000,"&gt;=45",'Participant Responses'!$B$2:$B$1000,"&lt;=54")</f>
        <v>0</v>
      </c>
      <c r="K53" s="4">
        <f>COUNTIFS('Participant Responses'!J2:J1000,"0",'Participant Responses'!$B$2:$B$1000,"&gt;=55",'Participant Responses'!$B$2:$B$1000,"&lt;=64")</f>
        <v>0</v>
      </c>
      <c r="L53" s="4">
        <f>COUNTIFS('Participant Responses'!J2:J1000,"0",'Participant Responses'!$B$2:$B$1000,"&gt;=65",'Participant Responses'!$B$2:$B$1000,"&lt;=74")</f>
        <v>0</v>
      </c>
      <c r="M53" s="4">
        <f>COUNTIFS('Participant Responses'!J2:J1000,"0",'Participant Responses'!$B$2:$B$1000,"&gt;=75",'Participant Responses'!$B$2:$B$1000,"&lt;=84")</f>
        <v>0</v>
      </c>
      <c r="N53" s="4">
        <f>COUNTIFS('Participant Responses'!J2:J1000,"0",'Participant Responses'!$B$2:$B$1000,"&gt;85")</f>
        <v>0</v>
      </c>
    </row>
    <row r="54" spans="1:14">
      <c r="A54" s="3" t="s">
        <v>19</v>
      </c>
      <c r="B54" s="13">
        <f>COUNTIF('Participant Responses'!J2:J1000,"0*-*20")</f>
        <v>0</v>
      </c>
      <c r="C54" s="7">
        <f>COUNTIFS('Participant Responses'!J2:J1000,"0*-*20",'Participant Responses'!$C$2:$C$1000,"m")</f>
        <v>0</v>
      </c>
      <c r="D54" s="4">
        <f>COUNTIFS('Participant Responses'!J2:J1000,"0*-*20",'Participant Responses'!$C$2:$C$1000,"f")</f>
        <v>0</v>
      </c>
      <c r="E54" s="4">
        <f>COUNTIFS('Participant Responses'!J2:J1000,"0*-*20",'Participant Responses'!$B$2:$B$1000,"&lt;=4")</f>
        <v>0</v>
      </c>
      <c r="F54" s="4">
        <f>COUNTIFS('Participant Responses'!J2:J1000,"0*-*20",'Participant Responses'!$B$2:$B$1000,"&gt;=5",'Participant Responses'!$B$2:$B$1000,"&lt;=14")</f>
        <v>0</v>
      </c>
      <c r="G54" s="4">
        <f>COUNTIFS('Participant Responses'!J2:J1000,"0*-*20",'Participant Responses'!$B$2:$B$1000,"&gt;=15",'Participant Responses'!$B$2:$B$1000,"&lt;=19")</f>
        <v>0</v>
      </c>
      <c r="H54" s="4">
        <f>COUNTIFS('Participant Responses'!J2:J1000,"0*-*20",'Participant Responses'!$B$2:$B$1000,"&gt;=20",'Participant Responses'!$B$2:$B$1000,"&lt;=24")</f>
        <v>0</v>
      </c>
      <c r="I54" s="4">
        <f>COUNTIFS('Participant Responses'!J2:J1000,"0*-*20",'Participant Responses'!$B$2:$B$1000,"&gt;=25",'Participant Responses'!$B$2:$B$1000,"&lt;=44")</f>
        <v>0</v>
      </c>
      <c r="J54" s="4">
        <f>COUNTIFS('Participant Responses'!J2:J1000,"0*-*20",'Participant Responses'!$B$2:$B$1000,"&gt;=45",'Participant Responses'!$B$2:$B$1000,"&lt;=54")</f>
        <v>0</v>
      </c>
      <c r="K54" s="4">
        <f>COUNTIFS('Participant Responses'!J2:J1000,"0*-*20",'Participant Responses'!$B$2:$B$1000,"&gt;=55",'Participant Responses'!$B$2:$B$1000,"&lt;=64")</f>
        <v>0</v>
      </c>
      <c r="L54" s="4">
        <f>COUNTIFS('Participant Responses'!J2:J1000,"0*-*20",'Participant Responses'!$B$2:$B$1000,"&gt;=65",'Participant Responses'!$B$2:$B$1000,"&lt;=74")</f>
        <v>0</v>
      </c>
      <c r="M54" s="4">
        <f>COUNTIFS('Participant Responses'!J2:J1000,"0*-*20",'Participant Responses'!$B$2:$B$1000,"&gt;=75",'Participant Responses'!$B$2:$B$1000,"&lt;=84")</f>
        <v>0</v>
      </c>
      <c r="N54" s="4">
        <f>COUNTIFS('Participant Responses'!J2:J1000,"0*-*20",'Participant Responses'!$B$2:$B$1000,"&gt;85")</f>
        <v>0</v>
      </c>
    </row>
    <row r="55" spans="1:14">
      <c r="A55" s="3" t="s">
        <v>13</v>
      </c>
      <c r="B55" s="13">
        <f>COUNTIF('Participant Responses'!J2:J1000,"21*-*40")</f>
        <v>0</v>
      </c>
      <c r="C55" s="7">
        <f>COUNTIFS('Participant Responses'!J2:J1000,"21*-*40",'Participant Responses'!$C$2:$C$1000,"m")</f>
        <v>0</v>
      </c>
      <c r="D55" s="4">
        <f>COUNTIFS('Participant Responses'!J2:J1000,"21*-*40",'Participant Responses'!$C$2:$C$1000,"f")</f>
        <v>0</v>
      </c>
      <c r="E55" s="4">
        <f>COUNTIFS('Participant Responses'!J2:J1000,"21*-*40",'Participant Responses'!$B$2:$B$1000,"&lt;=4")</f>
        <v>0</v>
      </c>
      <c r="F55" s="4">
        <f>COUNTIFS('Participant Responses'!J2:J1000,"21*-*40",'Participant Responses'!$B$2:$B$1000,"&gt;=5",'Participant Responses'!$B$2:$B$1000,"&lt;=14")</f>
        <v>0</v>
      </c>
      <c r="G55" s="4">
        <f>COUNTIFS('Participant Responses'!J2:J1000,"21*-*40",'Participant Responses'!$B$2:$B$1000,"&gt;=15",'Participant Responses'!$B$2:$B$1000,"&lt;=19")</f>
        <v>0</v>
      </c>
      <c r="H55" s="4">
        <f>COUNTIFS('Participant Responses'!J2:J1000,"21*-*40",'Participant Responses'!$B$2:$B$1000,"&gt;=20",'Participant Responses'!$B$2:$B$1000,"&lt;=24")</f>
        <v>0</v>
      </c>
      <c r="I55" s="4">
        <f>COUNTIFS('Participant Responses'!J2:J1000,"21*-*40",'Participant Responses'!$B$2:$B$1000,"&gt;=25",'Participant Responses'!$B$2:$B$1000,"&lt;=44")</f>
        <v>0</v>
      </c>
      <c r="J55" s="4">
        <f>COUNTIFS('Participant Responses'!J2:J1000,"21*-*40",'Participant Responses'!$B$2:$B$1000,"&gt;=45",'Participant Responses'!$B$2:$B$1000,"&lt;=54")</f>
        <v>0</v>
      </c>
      <c r="K55" s="4">
        <f>COUNTIFS('Participant Responses'!J2:J1000,"21*-*40",'Participant Responses'!$B$2:$B$1000,"&gt;=55",'Participant Responses'!$B$2:$B$1000,"&lt;=64")</f>
        <v>0</v>
      </c>
      <c r="L55" s="4">
        <f>COUNTIFS('Participant Responses'!J2:J1000,"21*-*40",'Participant Responses'!$B$2:$B$1000,"&gt;=65",'Participant Responses'!$B$2:$B$1000,"&lt;=74")</f>
        <v>0</v>
      </c>
      <c r="M55" s="4">
        <f>COUNTIFS('Participant Responses'!J2:J1000,"21*-*40",'Participant Responses'!$B$2:$B$1000,"&gt;=75",'Participant Responses'!$B$2:$B$1000,"&lt;=84")</f>
        <v>0</v>
      </c>
      <c r="N55" s="4">
        <f>COUNTIFS('Participant Responses'!J2:J1000,"21*-*40",'Participant Responses'!$B$2:$B$1000,"&gt;85")</f>
        <v>0</v>
      </c>
    </row>
    <row r="56" spans="1:14">
      <c r="A56" s="3" t="s">
        <v>14</v>
      </c>
      <c r="B56" s="13">
        <f>COUNTIF('Participant Responses'!J2:J1000,"41*-*100")</f>
        <v>0</v>
      </c>
      <c r="C56" s="7">
        <f>COUNTIFS('Participant Responses'!J2:J1000,"41*-*100",'Participant Responses'!$C$2:$C$1000,"m")</f>
        <v>0</v>
      </c>
      <c r="D56" s="4">
        <f>COUNTIFS('Participant Responses'!J2:J1000,"41*-*100",'Participant Responses'!$C$2:$C$1000,"f")</f>
        <v>0</v>
      </c>
      <c r="E56" s="4">
        <f>COUNTIFS('Participant Responses'!J2:J1000,"41*-*100",'Participant Responses'!$B$2:$B$1000,"&lt;=4")</f>
        <v>0</v>
      </c>
      <c r="F56" s="4">
        <f>COUNTIFS('Participant Responses'!J2:J1000,"41*-*100",'Participant Responses'!$B$2:$B$1000,"&gt;=5",'Participant Responses'!$B$2:$B$1000,"&lt;=14")</f>
        <v>0</v>
      </c>
      <c r="G56" s="4">
        <f>COUNTIFS('Participant Responses'!J2:J1000,"41*-*100",'Participant Responses'!$B$2:$B$1000,"&gt;=15",'Participant Responses'!$B$2:$B$1000,"&lt;=19")</f>
        <v>0</v>
      </c>
      <c r="H56" s="4">
        <f>COUNTIFS('Participant Responses'!J2:J1000,"41*-*100",'Participant Responses'!$B$2:$B$1000,"&gt;=20",'Participant Responses'!$B$2:$B$1000,"&lt;=24")</f>
        <v>0</v>
      </c>
      <c r="I56" s="4">
        <f>COUNTIFS('Participant Responses'!J2:J1000,"41*-*100",'Participant Responses'!$B$2:$B$1000,"&gt;=25",'Participant Responses'!$B$2:$B$1000,"&lt;=44")</f>
        <v>0</v>
      </c>
      <c r="J56" s="4">
        <f>COUNTIFS('Participant Responses'!J2:J1000,"41*-*100",'Participant Responses'!$B$2:$B$1000,"&gt;=45",'Participant Responses'!$B$2:$B$1000,"&lt;=54")</f>
        <v>0</v>
      </c>
      <c r="K56" s="4">
        <f>COUNTIFS('Participant Responses'!J2:J1000,"41*-*100",'Participant Responses'!$B$2:$B$1000,"&gt;=55",'Participant Responses'!$B$2:$B$1000,"&lt;=64")</f>
        <v>0</v>
      </c>
      <c r="L56" s="4">
        <f>COUNTIFS('Participant Responses'!J2:J1000,"41*-*100",'Participant Responses'!$B$2:$B$1000,"&gt;=65",'Participant Responses'!$B$2:$B$1000,"&lt;=74")</f>
        <v>0</v>
      </c>
      <c r="M56" s="4">
        <f>COUNTIFS('Participant Responses'!J2:J1000,"41*-*100",'Participant Responses'!$B$2:$B$1000,"&gt;=75",'Participant Responses'!$B$2:$B$1000,"&lt;=84")</f>
        <v>0</v>
      </c>
      <c r="N56" s="4">
        <f>COUNTIFS('Participant Responses'!J2:J1000,"41*-*100",'Participant Responses'!$B$2:$B$1000,"&gt;85")</f>
        <v>0</v>
      </c>
    </row>
    <row r="57" spans="1:14">
      <c r="A57" s="3" t="s">
        <v>15</v>
      </c>
      <c r="B57" s="13">
        <f>COUNTIF('Participant Responses'!J2:J1000,"101*-*200")</f>
        <v>0</v>
      </c>
      <c r="C57" s="7">
        <f>COUNTIFS('Participant Responses'!J2:J1000,"101*-*200",'Participant Responses'!$C$2:$C$1000,"m")</f>
        <v>0</v>
      </c>
      <c r="D57" s="4">
        <f>COUNTIFS('Participant Responses'!J2:J1000,"101*-*200",'Participant Responses'!$C$2:$C$1000,"f")</f>
        <v>0</v>
      </c>
      <c r="E57" s="4">
        <f>COUNTIFS('Participant Responses'!J2:J1000,"101*-*200",'Participant Responses'!$B$2:$B$1000,"&lt;=4")</f>
        <v>0</v>
      </c>
      <c r="F57" s="4">
        <f>COUNTIFS('Participant Responses'!J2:J1000,"101*-*200",'Participant Responses'!$B$2:$B$1000,"&gt;=5",'Participant Responses'!$B$2:$B$1000,"&lt;=14")</f>
        <v>0</v>
      </c>
      <c r="G57" s="4">
        <f>COUNTIFS('Participant Responses'!J2:J1000,"101*-*200",'Participant Responses'!$B$2:$B$1000,"&gt;=15",'Participant Responses'!$B$2:$B$1000,"&lt;=19")</f>
        <v>0</v>
      </c>
      <c r="H57" s="4">
        <f>COUNTIFS('Participant Responses'!J2:J1000,"101*-*200",'Participant Responses'!$B$2:$B$1000,"&gt;=20",'Participant Responses'!$B$2:$B$1000,"&lt;=24")</f>
        <v>0</v>
      </c>
      <c r="I57" s="4">
        <f>COUNTIFS('Participant Responses'!J2:J1000,"101*-*200",'Participant Responses'!$B$2:$B$1000,"&gt;=25",'Participant Responses'!$B$2:$B$1000,"&lt;=44")</f>
        <v>0</v>
      </c>
      <c r="J57" s="4">
        <f>COUNTIFS('Participant Responses'!J2:J1000,"101*-*200",'Participant Responses'!$B$2:$B$1000,"&gt;=45",'Participant Responses'!$B$2:$B$1000,"&lt;=54")</f>
        <v>0</v>
      </c>
      <c r="K57" s="4">
        <f>COUNTIFS('Participant Responses'!J2:J1000,"101*-*200",'Participant Responses'!$B$2:$B$1000,"&gt;=55",'Participant Responses'!$B$2:$B$1000,"&lt;=64")</f>
        <v>0</v>
      </c>
      <c r="L57" s="4">
        <f>COUNTIFS('Participant Responses'!J2:J1000,"101*-*200",'Participant Responses'!$B$2:$B$1000,"&gt;=65",'Participant Responses'!$B$2:$B$1000,"&lt;=74")</f>
        <v>0</v>
      </c>
      <c r="M57" s="4">
        <f>COUNTIFS('Participant Responses'!J2:J1000,"101*-*200",'Participant Responses'!$B$2:$B$1000,"&gt;=75",'Participant Responses'!$B$2:$B$1000,"&lt;=84")</f>
        <v>0</v>
      </c>
      <c r="N57" s="4">
        <f>COUNTIFS('Participant Responses'!J2:J1000,"101*-*200",'Participant Responses'!$B$2:$B$1000,"&gt;85")</f>
        <v>0</v>
      </c>
    </row>
    <row r="58" spans="1:14">
      <c r="A58" s="3" t="s">
        <v>16</v>
      </c>
      <c r="B58" s="13">
        <f>COUNTIF('Participant Responses'!J2:J1000,"201*-*300")</f>
        <v>0</v>
      </c>
      <c r="C58" s="7">
        <f>COUNTIFS('Participant Responses'!J2:J1000,"201*-*300",'Participant Responses'!$C$2:$C$1000,"m")</f>
        <v>0</v>
      </c>
      <c r="D58" s="4">
        <f>COUNTIFS('Participant Responses'!J2:J1000,"201*-*300",'Participant Responses'!$C$2:$C$1000,"f")</f>
        <v>0</v>
      </c>
      <c r="E58" s="4">
        <f>COUNTIFS('Participant Responses'!J2:J1000,"201*-*300",'Participant Responses'!$B$2:$B$1000,"&lt;=4")</f>
        <v>0</v>
      </c>
      <c r="F58" s="4">
        <f>COUNTIFS('Participant Responses'!J2:J1000,"201*-*300",'Participant Responses'!$B$2:$B$1000,"&gt;=5",'Participant Responses'!$B$2:$B$1000,"&lt;=14")</f>
        <v>0</v>
      </c>
      <c r="G58" s="4">
        <f>COUNTIFS('Participant Responses'!J2:J1000,"201*-*300",'Participant Responses'!$B$2:$B$1000,"&gt;=15",'Participant Responses'!$B$2:$B$1000,"&lt;=19")</f>
        <v>0</v>
      </c>
      <c r="H58" s="4">
        <f>COUNTIFS('Participant Responses'!J2:J1000,"201*-*300",'Participant Responses'!$B$2:$B$1000,"&gt;=20",'Participant Responses'!$B$2:$B$1000,"&lt;=24")</f>
        <v>0</v>
      </c>
      <c r="I58" s="4">
        <f>COUNTIFS('Participant Responses'!J2:J1000,"201*-*300",'Participant Responses'!$B$2:$B$1000,"&gt;=25",'Participant Responses'!$B$2:$B$1000,"&lt;=44")</f>
        <v>0</v>
      </c>
      <c r="J58" s="4">
        <f>COUNTIFS('Participant Responses'!J2:J1000,"201*-*300",'Participant Responses'!$B$2:$B$1000,"&gt;=45",'Participant Responses'!$B$2:$B$1000,"&lt;=54")</f>
        <v>0</v>
      </c>
      <c r="K58" s="4">
        <f>COUNTIFS('Participant Responses'!J2:J1000,"201*-*300",'Participant Responses'!$B$2:$B$1000,"&gt;=55",'Participant Responses'!$B$2:$B$1000,"&lt;=64")</f>
        <v>0</v>
      </c>
      <c r="L58" s="4">
        <f>COUNTIFS('Participant Responses'!J2:J1000,"201*-*300",'Participant Responses'!$B$2:$B$1000,"&gt;=65",'Participant Responses'!$B$2:$B$1000,"&lt;=74")</f>
        <v>0</v>
      </c>
      <c r="M58" s="4">
        <f>COUNTIFS('Participant Responses'!J2:J1000,"201*-*300",'Participant Responses'!$B$2:$B$1000,"&gt;=75",'Participant Responses'!$B$2:$B$1000,"&lt;=84")</f>
        <v>0</v>
      </c>
      <c r="N58" s="4">
        <f>COUNTIFS('Participant Responses'!J2:J1000,"201*-*300",'Participant Responses'!$B$2:$B$1000,"&gt;85")</f>
        <v>0</v>
      </c>
    </row>
    <row r="59" spans="1:14">
      <c r="A59" s="3" t="s">
        <v>17</v>
      </c>
      <c r="B59" s="13">
        <f>COUNTIF('Participant Responses'!J2:J1000,"301*-*400")</f>
        <v>0</v>
      </c>
      <c r="C59" s="7">
        <f>COUNTIFS('Participant Responses'!J2:J1000,"301*-*400",'Participant Responses'!$C$2:$C$1000,"m")</f>
        <v>0</v>
      </c>
      <c r="D59" s="4">
        <f>COUNTIFS('Participant Responses'!J2:J1000,"301*-*400",'Participant Responses'!$C$2:$C$1000,"f")</f>
        <v>0</v>
      </c>
      <c r="E59" s="4">
        <f>COUNTIFS('Participant Responses'!J2:J1000,"301*-*400",'Participant Responses'!$B$2:$B$1000,"&lt;=4")</f>
        <v>0</v>
      </c>
      <c r="F59" s="4">
        <f>COUNTIFS('Participant Responses'!J2:J1000,"301*-*400",'Participant Responses'!$B$2:$B$1000,"&gt;=5",'Participant Responses'!$B$2:$B$1000,"&lt;=14")</f>
        <v>0</v>
      </c>
      <c r="G59" s="4">
        <f>COUNTIFS('Participant Responses'!J2:J1000,"301*-*400",'Participant Responses'!$B$2:$B$1000,"&gt;=15",'Participant Responses'!$B$2:$B$1000,"&lt;=19")</f>
        <v>0</v>
      </c>
      <c r="H59" s="4">
        <f>COUNTIFS('Participant Responses'!J2:J1000,"301*-*400",'Participant Responses'!$B$2:$B$1000,"&gt;=20",'Participant Responses'!$B$2:$B$1000,"&lt;=24")</f>
        <v>0</v>
      </c>
      <c r="I59" s="4">
        <f>COUNTIFS('Participant Responses'!J2:J1000,"301*-*400",'Participant Responses'!$B$2:$B$1000,"&gt;=25",'Participant Responses'!$B$2:$B$1000,"&lt;=44")</f>
        <v>0</v>
      </c>
      <c r="J59" s="4">
        <f>COUNTIFS('Participant Responses'!J2:J1000,"301*-*400",'Participant Responses'!$B$2:$B$1000,"&gt;=45",'Participant Responses'!$B$2:$B$1000,"&lt;=54")</f>
        <v>0</v>
      </c>
      <c r="K59" s="4">
        <f>COUNTIFS('Participant Responses'!J2:J1000,"301*-*400",'Participant Responses'!$B$2:$B$1000,"&gt;=55",'Participant Responses'!$B$2:$B$1000,"&lt;=64")</f>
        <v>0</v>
      </c>
      <c r="L59" s="4">
        <f>COUNTIFS('Participant Responses'!J2:J1000,"301*-*400",'Participant Responses'!$B$2:$B$1000,"&gt;=65",'Participant Responses'!$B$2:$B$1000,"&lt;=74")</f>
        <v>0</v>
      </c>
      <c r="M59" s="4">
        <f>COUNTIFS('Participant Responses'!J2:J1000,"301*-*400",'Participant Responses'!$B$2:$B$1000,"&gt;=75",'Participant Responses'!$B$2:$B$1000,"&lt;=84")</f>
        <v>0</v>
      </c>
      <c r="N59" s="4">
        <f>COUNTIFS('Participant Responses'!J2:J1000,"301*-*400",'Participant Responses'!$B$2:$B$1000,"&gt;85")</f>
        <v>0</v>
      </c>
    </row>
    <row r="60" spans="1:14">
      <c r="A60" s="3" t="s">
        <v>18</v>
      </c>
      <c r="B60" s="13">
        <f>COUNTIF('Participant Responses'!J2:J1000,"?ver 400")</f>
        <v>0</v>
      </c>
      <c r="C60" s="7">
        <f>COUNTIFS('Participant Responses'!J2:J1000,"?ver 400",'Participant Responses'!$C$2:$C$1000,"m")</f>
        <v>0</v>
      </c>
      <c r="D60" s="4">
        <f>COUNTIFS('Participant Responses'!J2:J1000,"?ver 400",'Participant Responses'!$C$2:$C$1000,"f")</f>
        <v>0</v>
      </c>
      <c r="E60" s="4">
        <f>COUNTIFS('Participant Responses'!J2:J1000,"?ver 400",'Participant Responses'!$B$2:$B$1000,"&lt;=4")</f>
        <v>0</v>
      </c>
      <c r="F60" s="4">
        <f>COUNTIFS('Participant Responses'!J2:J1000,"?ver 400",'Participant Responses'!$B$2:$B$1000,"&gt;=5",'Participant Responses'!$B$2:$B$1000,"&lt;=14")</f>
        <v>0</v>
      </c>
      <c r="G60" s="4">
        <f>COUNTIFS('Participant Responses'!J2:J1000,"?ver 400",'Participant Responses'!$B$2:$B$1000,"&gt;=15",'Participant Responses'!$B$2:$B$1000,"&lt;=19")</f>
        <v>0</v>
      </c>
      <c r="H60" s="4">
        <f>COUNTIFS('Participant Responses'!J2:J1000,"?ver 400",'Participant Responses'!$B$2:$B$1000,"&gt;=20",'Participant Responses'!$B$2:$B$1000,"&lt;=24")</f>
        <v>0</v>
      </c>
      <c r="I60" s="4">
        <f>COUNTIFS('Participant Responses'!J2:J1000,"?ver 400",'Participant Responses'!$B$2:$B$1000,"&gt;=25",'Participant Responses'!$B$2:$B$1000,"&lt;=44")</f>
        <v>0</v>
      </c>
      <c r="J60" s="4">
        <f>COUNTIFS('Participant Responses'!J2:J1000,"?ver 400",'Participant Responses'!$B$2:$B$1000,"&gt;=45",'Participant Responses'!$B$2:$B$1000,"&lt;=54")</f>
        <v>0</v>
      </c>
      <c r="K60" s="4">
        <f>COUNTIFS('Participant Responses'!J2:J1000,"?ver 400",'Participant Responses'!$B$2:$B$1000,"&gt;=55",'Participant Responses'!$B$2:$B$1000,"&lt;=64")</f>
        <v>0</v>
      </c>
      <c r="L60" s="4">
        <f>COUNTIFS('Participant Responses'!J2:J1000,"?ver 400",'Participant Responses'!$B$2:$B$1000,"&gt;=65",'Participant Responses'!$B$2:$B$1000,"&lt;=74")</f>
        <v>0</v>
      </c>
      <c r="M60" s="4">
        <f>COUNTIFS('Participant Responses'!J2:J1000,"?ver 400",'Participant Responses'!$B$2:$B$1000,"&gt;=75",'Participant Responses'!$B$2:$B$1000,"&lt;=84")</f>
        <v>0</v>
      </c>
      <c r="N60" s="4">
        <f>COUNTIFS('Participant Responses'!J2:J1000,"?ver 400",'Participant Responses'!$B$2:$B$1000,"&gt;85")</f>
        <v>0</v>
      </c>
    </row>
    <row r="62" spans="1:14" ht="45">
      <c r="A62" s="6" t="s">
        <v>25</v>
      </c>
      <c r="B62" s="26" t="s">
        <v>64</v>
      </c>
      <c r="C62" s="40" t="s">
        <v>43</v>
      </c>
      <c r="D62" s="33"/>
      <c r="E62" s="33" t="s">
        <v>46</v>
      </c>
      <c r="F62" s="33"/>
      <c r="G62" s="33"/>
      <c r="H62" s="33"/>
      <c r="I62" s="33"/>
      <c r="J62" s="33"/>
      <c r="K62" s="33"/>
      <c r="L62" s="33"/>
      <c r="M62" s="33"/>
      <c r="N62" s="33"/>
    </row>
    <row r="63" spans="1:14">
      <c r="A63" s="3"/>
      <c r="B63" s="27"/>
      <c r="C63" s="17" t="s">
        <v>62</v>
      </c>
      <c r="D63" s="16" t="s">
        <v>63</v>
      </c>
      <c r="E63" s="3" t="s">
        <v>55</v>
      </c>
      <c r="F63" s="3" t="s">
        <v>66</v>
      </c>
      <c r="G63" s="3" t="s">
        <v>56</v>
      </c>
      <c r="H63" s="3" t="s">
        <v>57</v>
      </c>
      <c r="I63" s="3" t="s">
        <v>58</v>
      </c>
      <c r="J63" s="3" t="s">
        <v>59</v>
      </c>
      <c r="K63" s="3" t="s">
        <v>60</v>
      </c>
      <c r="L63" s="3" t="s">
        <v>67</v>
      </c>
      <c r="M63" s="3" t="s">
        <v>61</v>
      </c>
      <c r="N63" s="3" t="s">
        <v>65</v>
      </c>
    </row>
    <row r="64" spans="1:14">
      <c r="A64" s="3">
        <v>0</v>
      </c>
      <c r="B64" s="13">
        <f>COUNTIF('Participant Responses'!K2:K1000,"0")</f>
        <v>0</v>
      </c>
      <c r="C64" s="7">
        <f>COUNTIFS('Participant Responses'!K2:K1000,"0",'Participant Responses'!$C$2:$C$1000,"m")</f>
        <v>0</v>
      </c>
      <c r="D64" s="4">
        <f>COUNTIFS('Participant Responses'!K2:K1000,"0",'Participant Responses'!$C$2:$C$1000,"f")</f>
        <v>0</v>
      </c>
      <c r="E64" s="4">
        <f>COUNTIFS('Participant Responses'!K2:K1000,"0",'Participant Responses'!$B$2:$B$1000,"&lt;=4")</f>
        <v>0</v>
      </c>
      <c r="F64" s="4">
        <f>COUNTIFS('Participant Responses'!K2:K1000,"0",'Participant Responses'!$B$2:$B$1000,"&gt;=5",'Participant Responses'!$B$2:$B$1000,"&lt;=14")</f>
        <v>0</v>
      </c>
      <c r="G64" s="4">
        <f>COUNTIFS('Participant Responses'!K2:K1000,"0",'Participant Responses'!$B$2:$B$1000,"&gt;=15",'Participant Responses'!$B$2:$B$1000,"&lt;=19")</f>
        <v>0</v>
      </c>
      <c r="H64" s="4">
        <f>COUNTIFS('Participant Responses'!K2:K1000,"0",'Participant Responses'!$B$2:$B$1000,"&gt;=20",'Participant Responses'!$B$2:$B$1000,"&lt;=24")</f>
        <v>0</v>
      </c>
      <c r="I64" s="4">
        <f>COUNTIFS('Participant Responses'!K2:K1000,"0",'Participant Responses'!$B$2:$B$1000,"&gt;=25",'Participant Responses'!$B$2:$B$1000,"&lt;=44")</f>
        <v>0</v>
      </c>
      <c r="J64" s="4">
        <f>COUNTIFS('Participant Responses'!K2:K1000,"0",'Participant Responses'!$B$2:$B$1000,"&gt;=45",'Participant Responses'!$B$2:$B$1000,"&lt;=54")</f>
        <v>0</v>
      </c>
      <c r="K64" s="4">
        <f>COUNTIFS('Participant Responses'!K2:K1000,"0",'Participant Responses'!$B$2:$B$1000,"&gt;=55",'Participant Responses'!$B$2:$B$1000,"&lt;=64")</f>
        <v>0</v>
      </c>
      <c r="L64" s="4">
        <f>COUNTIFS('Participant Responses'!K2:K1000,"0",'Participant Responses'!$B$2:$B$1000,"&gt;=65",'Participant Responses'!$B$2:$B$1000,"&lt;=74")</f>
        <v>0</v>
      </c>
      <c r="M64" s="4">
        <f>COUNTIFS('Participant Responses'!K2:K1000,"0",'Participant Responses'!$B$2:$B$1000,"&gt;=75",'Participant Responses'!$B$2:$B$1000,"&lt;=84")</f>
        <v>0</v>
      </c>
      <c r="N64" s="4">
        <f>COUNTIFS('Participant Responses'!K2:K1000,"0",'Participant Responses'!$B$2:$B$1000,"&gt;85")</f>
        <v>0</v>
      </c>
    </row>
    <row r="65" spans="1:14">
      <c r="A65" s="3" t="s">
        <v>26</v>
      </c>
      <c r="B65" s="13">
        <f>COUNTIF('Participant Responses'!K2:K1000,"1*-*3")</f>
        <v>0</v>
      </c>
      <c r="C65" s="7">
        <f>COUNTIFS('Participant Responses'!K2:K1000,"1*-*3",'Participant Responses'!$C$2:$C$1000,"m")</f>
        <v>0</v>
      </c>
      <c r="D65" s="4">
        <f>COUNTIFS('Participant Responses'!K2:K1000,"1*-*3",'Participant Responses'!$C$2:$C$1000,"f")</f>
        <v>0</v>
      </c>
      <c r="E65" s="4">
        <f>COUNTIFS('Participant Responses'!K2:K1000,"1*-*3",'Participant Responses'!$B$2:$B$1000,"&lt;=4")</f>
        <v>0</v>
      </c>
      <c r="F65" s="4">
        <f>COUNTIFS('Participant Responses'!K2:K1000,"1*-*3",'Participant Responses'!$B$2:$B$1000,"&gt;=5",'Participant Responses'!$B$2:$B$1000,"&lt;=14")</f>
        <v>0</v>
      </c>
      <c r="G65" s="4">
        <f>COUNTIFS('Participant Responses'!K2:K1000,"1*-*3",'Participant Responses'!$B$2:$B$1000,"&gt;=15",'Participant Responses'!$B$2:$B$1000,"&lt;=19")</f>
        <v>0</v>
      </c>
      <c r="H65" s="4">
        <f>COUNTIFS('Participant Responses'!K2:K1000,"1*-*3",'Participant Responses'!$B$2:$B$1000,"&gt;=20",'Participant Responses'!$B$2:$B$1000,"&lt;=24")</f>
        <v>0</v>
      </c>
      <c r="I65" s="4">
        <f>COUNTIFS('Participant Responses'!K2:K1000,"1*-*3",'Participant Responses'!$B$2:$B$1000,"&gt;=25",'Participant Responses'!$B$2:$B$1000,"&lt;=44")</f>
        <v>0</v>
      </c>
      <c r="J65" s="4">
        <f>COUNTIFS('Participant Responses'!K2:K1000,"1*-*3",'Participant Responses'!$B$2:$B$1000,"&gt;=45",'Participant Responses'!$B$2:$B$1000,"&lt;=54")</f>
        <v>0</v>
      </c>
      <c r="K65" s="4">
        <f>COUNTIFS('Participant Responses'!K2:K1000,"1*-*3",'Participant Responses'!$B$2:$B$1000,"&gt;=55",'Participant Responses'!$B$2:$B$1000,"&lt;=64")</f>
        <v>0</v>
      </c>
      <c r="L65" s="4">
        <f>COUNTIFS('Participant Responses'!K2:K1000,"1*-*3",'Participant Responses'!$B$2:$B$1000,"&gt;=65",'Participant Responses'!$B$2:$B$1000,"&lt;=74")</f>
        <v>0</v>
      </c>
      <c r="M65" s="4">
        <f>COUNTIFS('Participant Responses'!K2:K1000,"1*-*3",'Participant Responses'!$B$2:$B$1000,"&gt;=75",'Participant Responses'!$B$2:$B$1000,"&lt;=84")</f>
        <v>0</v>
      </c>
      <c r="N65" s="4">
        <f>COUNTIFS('Participant Responses'!K2:K1000,"1*-*3",'Participant Responses'!$B$2:$B$1000,"&gt;85")</f>
        <v>0</v>
      </c>
    </row>
    <row r="66" spans="1:14">
      <c r="A66" s="3" t="s">
        <v>27</v>
      </c>
      <c r="B66" s="13">
        <f>COUNTIF('Participant Responses'!K2:K1000,"4*-*6")</f>
        <v>0</v>
      </c>
      <c r="C66" s="7">
        <f>COUNTIFS('Participant Responses'!K2:K1000,"4*-*6",'Participant Responses'!$C$2:$C$1000,"m")</f>
        <v>0</v>
      </c>
      <c r="D66" s="4">
        <f>COUNTIFS('Participant Responses'!K2:K1000,"4*-*6",'Participant Responses'!$C$2:$C$1000,"f")</f>
        <v>0</v>
      </c>
      <c r="E66" s="4">
        <f>COUNTIFS('Participant Responses'!K2:K1000,"4*-*6",'Participant Responses'!$B$2:$B$1000,"&lt;=4")</f>
        <v>0</v>
      </c>
      <c r="F66" s="4">
        <f>COUNTIFS('Participant Responses'!K2:K1000,"4*-*6",'Participant Responses'!$B$2:$B$1000,"&gt;=5",'Participant Responses'!$B$2:$B$1000,"&lt;=14")</f>
        <v>0</v>
      </c>
      <c r="G66" s="4">
        <f>COUNTIFS('Participant Responses'!K2:K1000,"4*-*6",'Participant Responses'!$B$2:$B$1000,"&gt;=15",'Participant Responses'!$B$2:$B$1000,"&lt;=19")</f>
        <v>0</v>
      </c>
      <c r="H66" s="4">
        <f>COUNTIFS('Participant Responses'!K2:K1000,"4*-*6",'Participant Responses'!$B$2:$B$1000,"&gt;=20",'Participant Responses'!$B$2:$B$1000,"&lt;=24")</f>
        <v>0</v>
      </c>
      <c r="I66" s="4">
        <f>COUNTIFS('Participant Responses'!K2:K1000,"4*-*6",'Participant Responses'!$B$2:$B$1000,"&gt;=25",'Participant Responses'!$B$2:$B$1000,"&lt;=44")</f>
        <v>0</v>
      </c>
      <c r="J66" s="4">
        <f>COUNTIFS('Participant Responses'!K2:K1000,"4*-*6",'Participant Responses'!$B$2:$B$1000,"&gt;=45",'Participant Responses'!$B$2:$B$1000,"&lt;=54")</f>
        <v>0</v>
      </c>
      <c r="K66" s="4">
        <f>COUNTIFS('Participant Responses'!K2:K1000,"4*-*6",'Participant Responses'!$B$2:$B$1000,"&gt;=55",'Participant Responses'!$B$2:$B$1000,"&lt;=64")</f>
        <v>0</v>
      </c>
      <c r="L66" s="4">
        <f>COUNTIFS('Participant Responses'!K2:K1000,"4*-*6",'Participant Responses'!$B$2:$B$1000,"&gt;=65",'Participant Responses'!$B$2:$B$1000,"&lt;=74")</f>
        <v>0</v>
      </c>
      <c r="M66" s="4">
        <f>COUNTIFS('Participant Responses'!K2:K1000,"4*-*6",'Participant Responses'!$B$2:$B$1000,"&gt;=75",'Participant Responses'!$B$2:$B$1000,"&lt;=84")</f>
        <v>0</v>
      </c>
      <c r="N66" s="4">
        <f>COUNTIFS('Participant Responses'!K2:K1000,"4*-*6",'Participant Responses'!$B$2:$B$1000,"&gt;85")</f>
        <v>0</v>
      </c>
    </row>
    <row r="67" spans="1:14">
      <c r="A67" s="3" t="s">
        <v>28</v>
      </c>
      <c r="B67" s="13">
        <f>COUNTIF('Participant Responses'!K2:K1000,"7*-*10")</f>
        <v>0</v>
      </c>
      <c r="C67" s="7">
        <f>COUNTIFS('Participant Responses'!K2:K1000,"7*-*10",'Participant Responses'!$C$2:$C$1000,"m")</f>
        <v>0</v>
      </c>
      <c r="D67" s="4">
        <f>COUNTIFS('Participant Responses'!K2:K1000,"7*-*10",'Participant Responses'!$C$2:$C$1000,"f")</f>
        <v>0</v>
      </c>
      <c r="E67" s="4">
        <f>COUNTIFS('Participant Responses'!K2:K1000,"7*-*10",'Participant Responses'!$B$2:$B$1000,"&lt;=4")</f>
        <v>0</v>
      </c>
      <c r="F67" s="4">
        <f>COUNTIFS('Participant Responses'!K2:K1000,"7*-*10",'Participant Responses'!$B$2:$B$1000,"&gt;=5",'Participant Responses'!$B$2:$B$1000,"&lt;=14")</f>
        <v>0</v>
      </c>
      <c r="G67" s="4">
        <f>COUNTIFS('Participant Responses'!K2:K1000,"7*-*10",'Participant Responses'!$B$2:$B$1000,"&gt;=15",'Participant Responses'!$B$2:$B$1000,"&lt;=19")</f>
        <v>0</v>
      </c>
      <c r="H67" s="4">
        <f>COUNTIFS('Participant Responses'!K2:K1000,"7*-*10",'Participant Responses'!$B$2:$B$1000,"&gt;=20",'Participant Responses'!$B$2:$B$1000,"&lt;=24")</f>
        <v>0</v>
      </c>
      <c r="I67" s="4">
        <f>COUNTIFS('Participant Responses'!K2:K1000,"7*-*10",'Participant Responses'!$B$2:$B$1000,"&gt;=25",'Participant Responses'!$B$2:$B$1000,"&lt;=44")</f>
        <v>0</v>
      </c>
      <c r="J67" s="4">
        <f>COUNTIFS('Participant Responses'!K2:K1000,"7*-*10",'Participant Responses'!$B$2:$B$1000,"&gt;=45",'Participant Responses'!$B$2:$B$1000,"&lt;=54")</f>
        <v>0</v>
      </c>
      <c r="K67" s="4">
        <f>COUNTIFS('Participant Responses'!K2:K1000,"7*-*10",'Participant Responses'!$B$2:$B$1000,"&gt;=55",'Participant Responses'!$B$2:$B$1000,"&lt;=64")</f>
        <v>0</v>
      </c>
      <c r="L67" s="4">
        <f>COUNTIFS('Participant Responses'!K2:K1000,"7*-*10",'Participant Responses'!$B$2:$B$1000,"&gt;=65",'Participant Responses'!$B$2:$B$1000,"&lt;=74")</f>
        <v>0</v>
      </c>
      <c r="M67" s="4">
        <f>COUNTIFS('Participant Responses'!K2:K1000,"7*-*10",'Participant Responses'!$B$2:$B$1000,"&gt;=75",'Participant Responses'!$B$2:$B$1000,"&lt;=84")</f>
        <v>0</v>
      </c>
      <c r="N67" s="4">
        <f>COUNTIFS('Participant Responses'!K2:K1000,"7*-*10",'Participant Responses'!$B$2:$B$1000,"&gt;85")</f>
        <v>0</v>
      </c>
    </row>
    <row r="68" spans="1:14">
      <c r="A68" s="3" t="s">
        <v>29</v>
      </c>
      <c r="B68" s="13">
        <f>COUNTIF('Participant Responses'!K2:K1000,"10 ?r ?ore")</f>
        <v>0</v>
      </c>
      <c r="C68" s="7">
        <f>COUNTIFS('Participant Responses'!K2:K1000,"10 ?r ?ore",'Participant Responses'!$C$2:$C$1000,"m")</f>
        <v>0</v>
      </c>
      <c r="D68" s="4">
        <f>COUNTIFS('Participant Responses'!K2:K1000,"10 ?r ?ore",'Participant Responses'!$C$2:$C$1000,"f")</f>
        <v>0</v>
      </c>
      <c r="E68" s="4">
        <f>COUNTIFS('Participant Responses'!K2:K1000,"10 ?r ?ore",'Participant Responses'!$B$2:$B$1000,"&lt;=4")</f>
        <v>0</v>
      </c>
      <c r="F68" s="4">
        <f>COUNTIFS('Participant Responses'!K2:K1000,"10 ?r ?ore",'Participant Responses'!$B$2:$B$1000,"&gt;=5",'Participant Responses'!$B$2:$B$1000,"&lt;=14")</f>
        <v>0</v>
      </c>
      <c r="G68" s="4">
        <f>COUNTIFS('Participant Responses'!K2:K1000,"10 ?r ?ore",'Participant Responses'!$B$2:$B$1000,"&gt;=15",'Participant Responses'!$B$2:$B$1000,"&lt;=19")</f>
        <v>0</v>
      </c>
      <c r="H68" s="4">
        <f>COUNTIFS('Participant Responses'!K2:K1000,"10 ?r ?ore",'Participant Responses'!$B$2:$B$1000,"&gt;=20",'Participant Responses'!$B$2:$B$1000,"&lt;=24")</f>
        <v>0</v>
      </c>
      <c r="I68" s="4">
        <f>COUNTIFS('Participant Responses'!K2:K1000,"10 ?r ?ore",'Participant Responses'!$B$2:$B$1000,"&gt;=25",'Participant Responses'!$B$2:$B$1000,"&lt;=44")</f>
        <v>0</v>
      </c>
      <c r="J68" s="4">
        <f>COUNTIFS('Participant Responses'!K2:K1000,"10 ?r ?ore",'Participant Responses'!$B$2:$B$1000,"&gt;=45",'Participant Responses'!$B$2:$B$1000,"&lt;=54")</f>
        <v>0</v>
      </c>
      <c r="K68" s="4">
        <f>COUNTIFS('Participant Responses'!K2:K1000,"10 ?r ?ore",'Participant Responses'!$B$2:$B$1000,"&gt;=55",'Participant Responses'!$B$2:$B$1000,"&lt;=64")</f>
        <v>0</v>
      </c>
      <c r="L68" s="4">
        <f>COUNTIFS('Participant Responses'!K2:K1000,"10 ?r ?ore",'Participant Responses'!$B$2:$B$1000,"&gt;=65",'Participant Responses'!$B$2:$B$1000,"&lt;=74")</f>
        <v>0</v>
      </c>
      <c r="M68" s="4">
        <f>COUNTIFS('Participant Responses'!K2:K1000,"10 ?r ?ore",'Participant Responses'!$B$2:$B$1000,"&gt;=75",'Participant Responses'!$B$2:$B$1000,"&lt;=84")</f>
        <v>0</v>
      </c>
      <c r="N68" s="4">
        <f>COUNTIFS('Participant Responses'!K2:K1000,"10 ?r ?ore",'Participant Responses'!$B$2:$B$1000,"&gt;85")</f>
        <v>0</v>
      </c>
    </row>
    <row r="70" spans="1:14" ht="47" customHeight="1">
      <c r="A70" s="6" t="s">
        <v>30</v>
      </c>
      <c r="B70" s="26" t="s">
        <v>64</v>
      </c>
      <c r="C70" s="40" t="s">
        <v>43</v>
      </c>
      <c r="D70" s="33"/>
      <c r="E70" s="33" t="s">
        <v>46</v>
      </c>
      <c r="F70" s="33"/>
      <c r="G70" s="33"/>
      <c r="H70" s="33"/>
      <c r="I70" s="33"/>
      <c r="J70" s="33"/>
      <c r="K70" s="33"/>
      <c r="L70" s="33"/>
      <c r="M70" s="33"/>
      <c r="N70" s="33"/>
    </row>
    <row r="71" spans="1:14">
      <c r="A71" s="3"/>
      <c r="B71" s="27"/>
      <c r="C71" s="17" t="s">
        <v>62</v>
      </c>
      <c r="D71" s="16" t="s">
        <v>63</v>
      </c>
      <c r="E71" s="3" t="s">
        <v>55</v>
      </c>
      <c r="F71" s="3" t="s">
        <v>66</v>
      </c>
      <c r="G71" s="3" t="s">
        <v>56</v>
      </c>
      <c r="H71" s="3" t="s">
        <v>57</v>
      </c>
      <c r="I71" s="3" t="s">
        <v>58</v>
      </c>
      <c r="J71" s="3" t="s">
        <v>59</v>
      </c>
      <c r="K71" s="3" t="s">
        <v>60</v>
      </c>
      <c r="L71" s="3" t="s">
        <v>67</v>
      </c>
      <c r="M71" s="3" t="s">
        <v>61</v>
      </c>
      <c r="N71" s="3" t="s">
        <v>65</v>
      </c>
    </row>
    <row r="72" spans="1:14">
      <c r="A72" s="3" t="s">
        <v>31</v>
      </c>
      <c r="B72" s="4">
        <f>COUNTIF('Participant Responses'!L2:L1000,"?aily")</f>
        <v>0</v>
      </c>
      <c r="C72" s="7">
        <f>COUNTIFS('Participant Responses'!L2:L1000,"?aily",'Participant Responses'!$C$2:$C$1000,"m")</f>
        <v>0</v>
      </c>
      <c r="D72" s="4">
        <f>COUNTIFS('Participant Responses'!L2:L1000,"?aily",'Participant Responses'!$C$2:$C$1000,"f")</f>
        <v>0</v>
      </c>
      <c r="E72" s="4">
        <f>COUNTIFS('Participant Responses'!L2:L1000,"?aily",'Participant Responses'!$B$2:$B$1000,"&lt;=4")</f>
        <v>0</v>
      </c>
      <c r="F72" s="4">
        <f>COUNTIFS('Participant Responses'!L2:L1000,"?aily",'Participant Responses'!$B$2:$B$1000,"&gt;=5",'Participant Responses'!$B$2:$B$1000,"&lt;=14")</f>
        <v>0</v>
      </c>
      <c r="G72" s="4">
        <f>COUNTIFS('Participant Responses'!L2:L1000,"?aily",'Participant Responses'!$B$2:$B$1000,"&gt;=15",'Participant Responses'!$B$2:$B$1000,"&lt;=19")</f>
        <v>0</v>
      </c>
      <c r="H72" s="4">
        <f>COUNTIFS('Participant Responses'!L2:L1000,"?aily",'Participant Responses'!$B$2:$B$1000,"&gt;=20",'Participant Responses'!$B$2:$B$1000,"&lt;=24")</f>
        <v>0</v>
      </c>
      <c r="I72" s="4">
        <f>COUNTIFS('Participant Responses'!L2:L1000,"?aily",'Participant Responses'!$B$2:$B$1000,"&gt;=25",'Participant Responses'!$B$2:$B$1000,"&lt;=44")</f>
        <v>0</v>
      </c>
      <c r="J72" s="4">
        <f>COUNTIFS('Participant Responses'!L2:L1000,"?aily",'Participant Responses'!$B$2:$B$1000,"&gt;=45",'Participant Responses'!$B$2:$B$1000,"&lt;=54")</f>
        <v>0</v>
      </c>
      <c r="K72" s="4">
        <f>COUNTIFS('Participant Responses'!L2:L1000,"?aily",'Participant Responses'!$B$2:$B$1000,"&gt;=55",'Participant Responses'!$B$2:$B$1000,"&lt;=64")</f>
        <v>0</v>
      </c>
      <c r="L72" s="4">
        <f>COUNTIFS('Participant Responses'!L2:L1000,"?aily",'Participant Responses'!$B$2:$B$1000,"&gt;=65",'Participant Responses'!$B$2:$B$1000,"&lt;=74")</f>
        <v>0</v>
      </c>
      <c r="M72" s="4">
        <f>COUNTIFS('Participant Responses'!L2:L1000,"?aily",'Participant Responses'!$B$2:$B$1000,"&gt;=75",'Participant Responses'!$B$2:$B$1000,"&lt;=84")</f>
        <v>0</v>
      </c>
      <c r="N72" s="4">
        <f>COUNTIFS('Participant Responses'!L2:L1000,"?aily",'Participant Responses'!$B$2:$B$1000,"&gt;85")</f>
        <v>0</v>
      </c>
    </row>
    <row r="73" spans="1:14">
      <c r="A73" s="3" t="s">
        <v>32</v>
      </c>
      <c r="B73" s="4">
        <f>COUNTIF('Participant Responses'!L2:L1000,"?eekly")</f>
        <v>0</v>
      </c>
      <c r="C73" s="7">
        <f>COUNTIFS('Participant Responses'!L2:L1000,"?eekly",'Participant Responses'!$C$2:$C$1000,"m")</f>
        <v>0</v>
      </c>
      <c r="D73" s="4">
        <f>COUNTIFS('Participant Responses'!L2:L1000,"?eekly",'Participant Responses'!$C$2:$C$1000,"f")</f>
        <v>0</v>
      </c>
      <c r="E73" s="4">
        <f>COUNTIFS('Participant Responses'!L2:L1000,"?eekly",'Participant Responses'!$B$2:$B$1000,"&lt;=4")</f>
        <v>0</v>
      </c>
      <c r="F73" s="4">
        <f>COUNTIFS('Participant Responses'!L2:L1000,"?eekly",'Participant Responses'!$B$2:$B$1000,"&gt;=5",'Participant Responses'!$B$2:$B$1000,"&lt;=14")</f>
        <v>0</v>
      </c>
      <c r="G73" s="4">
        <f>COUNTIFS('Participant Responses'!L2:L1000,"?eekly",'Participant Responses'!$B$2:$B$1000,"&gt;=15",'Participant Responses'!$B$2:$B$1000,"&lt;=19")</f>
        <v>0</v>
      </c>
      <c r="H73" s="4">
        <f>COUNTIFS('Participant Responses'!L2:L1000,"?eekly",'Participant Responses'!$B$2:$B$1000,"&gt;=20",'Participant Responses'!$B$2:$B$1000,"&lt;=24")</f>
        <v>0</v>
      </c>
      <c r="I73" s="4">
        <f>COUNTIFS('Participant Responses'!L2:L1000,"?eekly",'Participant Responses'!$B$2:$B$1000,"&gt;=25",'Participant Responses'!$B$2:$B$1000,"&lt;=44")</f>
        <v>0</v>
      </c>
      <c r="J73" s="4">
        <f>COUNTIFS('Participant Responses'!L2:L1000,"?eekly",'Participant Responses'!$B$2:$B$1000,"&gt;=45",'Participant Responses'!$B$2:$B$1000,"&lt;=54")</f>
        <v>0</v>
      </c>
      <c r="K73" s="4">
        <f>COUNTIFS('Participant Responses'!L2:L1000,"?eekly",'Participant Responses'!$B$2:$B$1000,"&gt;=55",'Participant Responses'!$B$2:$B$1000,"&lt;=64")</f>
        <v>0</v>
      </c>
      <c r="L73" s="4">
        <f>COUNTIFS('Participant Responses'!L2:L1000,"?eekly",'Participant Responses'!$B$2:$B$1000,"&gt;=65",'Participant Responses'!$B$2:$B$1000,"&lt;=74")</f>
        <v>0</v>
      </c>
      <c r="M73" s="4">
        <f>COUNTIFS('Participant Responses'!L2:L1000,"?eekly",'Participant Responses'!$B$2:$B$1000,"&gt;=75",'Participant Responses'!$B$2:$B$1000,"&lt;=84")</f>
        <v>0</v>
      </c>
      <c r="N73" s="4">
        <f>COUNTIFS('Participant Responses'!L2:L1000,"?eekly",'Participant Responses'!$B$2:$B$1000,"&gt;85")</f>
        <v>0</v>
      </c>
    </row>
    <row r="74" spans="1:14">
      <c r="A74" s="3" t="s">
        <v>33</v>
      </c>
      <c r="B74" s="4">
        <f>COUNTIF('Participant Responses'!L2:L1000,"?onthly")</f>
        <v>0</v>
      </c>
      <c r="C74" s="7">
        <f>COUNTIFS('Participant Responses'!L2:L1000,"?onthly",'Participant Responses'!$C$2:$C$1000,"m")</f>
        <v>0</v>
      </c>
      <c r="D74" s="4">
        <f>COUNTIFS('Participant Responses'!L2:L1000,"?onthly",'Participant Responses'!$C$2:$C$1000,"f")</f>
        <v>0</v>
      </c>
      <c r="E74" s="4">
        <f>COUNTIFS('Participant Responses'!L2:L1000,"?onthly",'Participant Responses'!$B$2:$B$1000,"&lt;=4")</f>
        <v>0</v>
      </c>
      <c r="F74" s="4">
        <f>COUNTIFS('Participant Responses'!L2:L1000,"?onthly",'Participant Responses'!$B$2:$B$1000,"&gt;=5",'Participant Responses'!$B$2:$B$1000,"&lt;=14")</f>
        <v>0</v>
      </c>
      <c r="G74" s="4">
        <f>COUNTIFS('Participant Responses'!L2:L1000,"?onthly",'Participant Responses'!$B$2:$B$1000,"&gt;=15",'Participant Responses'!$B$2:$B$1000,"&lt;=19")</f>
        <v>0</v>
      </c>
      <c r="H74" s="4">
        <f>COUNTIFS('Participant Responses'!L2:L1000,"?onthly",'Participant Responses'!$B$2:$B$1000,"&gt;=20",'Participant Responses'!$B$2:$B$1000,"&lt;=24")</f>
        <v>0</v>
      </c>
      <c r="I74" s="4">
        <f>COUNTIFS('Participant Responses'!L2:L1000,"?onthly",'Participant Responses'!$B$2:$B$1000,"&gt;=25",'Participant Responses'!$B$2:$B$1000,"&lt;=44")</f>
        <v>0</v>
      </c>
      <c r="J74" s="4">
        <f>COUNTIFS('Participant Responses'!L2:L1000,"?onthly",'Participant Responses'!$B$2:$B$1000,"&gt;=45",'Participant Responses'!$B$2:$B$1000,"&lt;=54")</f>
        <v>0</v>
      </c>
      <c r="K74" s="4">
        <f>COUNTIFS('Participant Responses'!L2:L1000,"?onthly",'Participant Responses'!$B$2:$B$1000,"&gt;=55",'Participant Responses'!$B$2:$B$1000,"&lt;=64")</f>
        <v>0</v>
      </c>
      <c r="L74" s="4">
        <f>COUNTIFS('Participant Responses'!L2:L1000,"?onthly",'Participant Responses'!$B$2:$B$1000,"&gt;=65",'Participant Responses'!$B$2:$B$1000,"&lt;=74")</f>
        <v>0</v>
      </c>
      <c r="M74" s="4">
        <f>COUNTIFS('Participant Responses'!L2:L1000,"?onthly",'Participant Responses'!$B$2:$B$1000,"&gt;=75",'Participant Responses'!$B$2:$B$1000,"&lt;=84")</f>
        <v>0</v>
      </c>
      <c r="N74" s="4">
        <f>COUNTIFS('Participant Responses'!L2:L1000,"?onthly",'Participant Responses'!$B$2:$B$1000,"&gt;85")</f>
        <v>0</v>
      </c>
    </row>
    <row r="75" spans="1:14">
      <c r="A75" s="3" t="s">
        <v>34</v>
      </c>
      <c r="B75" s="4">
        <f>COUNTIF('Participant Responses'!L2:L1000,"?ometimes")</f>
        <v>0</v>
      </c>
      <c r="C75" s="7">
        <f>COUNTIFS('Participant Responses'!L2:L1000,"?ometimes",'Participant Responses'!$C$2:$C$1000,"m")</f>
        <v>0</v>
      </c>
      <c r="D75" s="4">
        <f>COUNTIFS('Participant Responses'!L2:L1000,"?ometimes",'Participant Responses'!$C$2:$C$1000,"f")</f>
        <v>0</v>
      </c>
      <c r="E75" s="4">
        <f>COUNTIFS('Participant Responses'!L2:L1000,"?ometimes",'Participant Responses'!$B$2:$B$1000,"&lt;=4")</f>
        <v>0</v>
      </c>
      <c r="F75" s="4">
        <f>COUNTIFS('Participant Responses'!L2:L1000,"?ometimes",'Participant Responses'!$B$2:$B$1000,"&gt;=5",'Participant Responses'!$B$2:$B$1000,"&lt;=14")</f>
        <v>0</v>
      </c>
      <c r="G75" s="4">
        <f>COUNTIFS('Participant Responses'!L2:L1000,"?ometimes",'Participant Responses'!$B$2:$B$1000,"&gt;=15",'Participant Responses'!$B$2:$B$1000,"&lt;=19")</f>
        <v>0</v>
      </c>
      <c r="H75" s="4">
        <f>COUNTIFS('Participant Responses'!L2:L1000,"?ometimes",'Participant Responses'!$B$2:$B$1000,"&gt;=20",'Participant Responses'!$B$2:$B$1000,"&lt;=24")</f>
        <v>0</v>
      </c>
      <c r="I75" s="4">
        <f>COUNTIFS('Participant Responses'!L2:L1000,"?ometimes",'Participant Responses'!$B$2:$B$1000,"&gt;=25",'Participant Responses'!$B$2:$B$1000,"&lt;=44")</f>
        <v>0</v>
      </c>
      <c r="J75" s="4">
        <f>COUNTIFS('Participant Responses'!L2:L1000,"?ometimes",'Participant Responses'!$B$2:$B$1000,"&gt;=45",'Participant Responses'!$B$2:$B$1000,"&lt;=54")</f>
        <v>0</v>
      </c>
      <c r="K75" s="4">
        <f>COUNTIFS('Participant Responses'!L2:L1000,"?ometimes",'Participant Responses'!$B$2:$B$1000,"&gt;=55",'Participant Responses'!$B$2:$B$1000,"&lt;=64")</f>
        <v>0</v>
      </c>
      <c r="L75" s="4">
        <f>COUNTIFS('Participant Responses'!L2:L1000,"?ometimes",'Participant Responses'!$B$2:$B$1000,"&gt;=65",'Participant Responses'!$B$2:$B$1000,"&lt;=74")</f>
        <v>0</v>
      </c>
      <c r="M75" s="4">
        <f>COUNTIFS('Participant Responses'!L2:L1000,"?ometimes",'Participant Responses'!$B$2:$B$1000,"&gt;=75",'Participant Responses'!$B$2:$B$1000,"&lt;=84")</f>
        <v>0</v>
      </c>
      <c r="N75" s="4">
        <f>COUNTIFS('Participant Responses'!L2:L1000,"?ometimes",'Participant Responses'!$B$2:$B$1000,"&gt;85")</f>
        <v>0</v>
      </c>
    </row>
    <row r="76" spans="1:14">
      <c r="A76" s="3" t="s">
        <v>35</v>
      </c>
      <c r="B76" s="4">
        <f>COUNTIF('Participant Responses'!L2:L1000,"?ever")</f>
        <v>0</v>
      </c>
      <c r="C76" s="7">
        <f>COUNTIFS('Participant Responses'!L2:L1000,"?ever",'Participant Responses'!$C$2:$C$1000,"m")</f>
        <v>0</v>
      </c>
      <c r="D76" s="4">
        <f>COUNTIFS('Participant Responses'!L2:L1000,"?ever",'Participant Responses'!$C$2:$C$1000,"f")</f>
        <v>0</v>
      </c>
      <c r="E76" s="4">
        <f>COUNTIFS('Participant Responses'!L2:L1000,"?ever",'Participant Responses'!$B$2:$B$1000,"&lt;=4")</f>
        <v>0</v>
      </c>
      <c r="F76" s="4">
        <f>COUNTIFS('Participant Responses'!L2:L1000,"?ever",'Participant Responses'!$B$2:$B$1000,"&gt;=5",'Participant Responses'!$B$2:$B$1000,"&lt;=14")</f>
        <v>0</v>
      </c>
      <c r="G76" s="4">
        <f>COUNTIFS('Participant Responses'!L2:L1000,"?ever",'Participant Responses'!$B$2:$B$1000,"&gt;=15",'Participant Responses'!$B$2:$B$1000,"&lt;=19")</f>
        <v>0</v>
      </c>
      <c r="H76" s="4">
        <f>COUNTIFS('Participant Responses'!L2:L1000,"?ever",'Participant Responses'!$B$2:$B$1000,"&gt;=20",'Participant Responses'!$B$2:$B$1000,"&lt;=24")</f>
        <v>0</v>
      </c>
      <c r="I76" s="4">
        <f>COUNTIFS('Participant Responses'!L2:L1000,"?ever",'Participant Responses'!$B$2:$B$1000,"&gt;=25",'Participant Responses'!$B$2:$B$1000,"&lt;=44")</f>
        <v>0</v>
      </c>
      <c r="J76" s="4">
        <f>COUNTIFS('Participant Responses'!L2:L1000,"?ever",'Participant Responses'!$B$2:$B$1000,"&gt;=45",'Participant Responses'!$B$2:$B$1000,"&lt;=54")</f>
        <v>0</v>
      </c>
      <c r="K76" s="4">
        <f>COUNTIFS('Participant Responses'!L2:L1000,"?ever",'Participant Responses'!$B$2:$B$1000,"&gt;=55",'Participant Responses'!$B$2:$B$1000,"&lt;=64")</f>
        <v>0</v>
      </c>
      <c r="L76" s="4">
        <f>COUNTIFS('Participant Responses'!L2:L1000,"?ever",'Participant Responses'!$B$2:$B$1000,"&gt;=65",'Participant Responses'!$B$2:$B$1000,"&lt;=74")</f>
        <v>0</v>
      </c>
      <c r="M76" s="4">
        <f>COUNTIFS('Participant Responses'!L2:L1000,"?ever",'Participant Responses'!$B$2:$B$1000,"&gt;=75",'Participant Responses'!$B$2:$B$1000,"&lt;=84")</f>
        <v>0</v>
      </c>
      <c r="N76" s="4">
        <f>COUNTIFS('Participant Responses'!L2:L1000,"?ever",'Participant Responses'!$B$2:$B$1000,"&gt;85")</f>
        <v>0</v>
      </c>
    </row>
    <row r="77" spans="1:14" ht="16" thickBot="1"/>
    <row r="78" spans="1:14">
      <c r="A78" s="41" t="s">
        <v>37</v>
      </c>
      <c r="B78" s="42"/>
      <c r="C78" s="42"/>
      <c r="D78" s="42"/>
      <c r="E78" s="42"/>
      <c r="F78" s="42"/>
      <c r="G78" s="42"/>
      <c r="H78" s="42"/>
      <c r="I78" s="42"/>
      <c r="J78" s="42"/>
      <c r="K78" s="42"/>
      <c r="L78" s="42"/>
      <c r="M78" s="42"/>
      <c r="N78" s="43"/>
    </row>
    <row r="79" spans="1:14" ht="51" customHeight="1" thickBot="1">
      <c r="A79" s="37" t="s">
        <v>68</v>
      </c>
      <c r="B79" s="38"/>
      <c r="C79" s="38"/>
      <c r="D79" s="38"/>
      <c r="E79" s="38"/>
      <c r="F79" s="38"/>
      <c r="G79" s="38"/>
      <c r="H79" s="38"/>
      <c r="I79" s="38"/>
      <c r="J79" s="38"/>
      <c r="K79" s="38"/>
      <c r="L79" s="38"/>
      <c r="M79" s="38"/>
      <c r="N79" s="39"/>
    </row>
    <row r="80" spans="1:14" ht="14" customHeight="1"/>
    <row r="81" spans="1:14" ht="64" customHeight="1">
      <c r="A81" s="6" t="s">
        <v>38</v>
      </c>
      <c r="B81" s="26" t="s">
        <v>64</v>
      </c>
      <c r="C81" s="40" t="s">
        <v>43</v>
      </c>
      <c r="D81" s="33"/>
      <c r="E81" s="33" t="s">
        <v>46</v>
      </c>
      <c r="F81" s="33"/>
      <c r="G81" s="33"/>
      <c r="H81" s="33"/>
      <c r="I81" s="33"/>
      <c r="J81" s="33"/>
      <c r="K81" s="33"/>
      <c r="L81" s="33"/>
      <c r="M81" s="33"/>
      <c r="N81" s="33"/>
    </row>
    <row r="82" spans="1:14">
      <c r="A82" s="3"/>
      <c r="B82" s="27"/>
      <c r="C82" s="17" t="s">
        <v>62</v>
      </c>
      <c r="D82" s="16" t="s">
        <v>63</v>
      </c>
      <c r="E82" s="3" t="s">
        <v>55</v>
      </c>
      <c r="F82" s="3" t="s">
        <v>66</v>
      </c>
      <c r="G82" s="3" t="s">
        <v>56</v>
      </c>
      <c r="H82" s="3" t="s">
        <v>57</v>
      </c>
      <c r="I82" s="3" t="s">
        <v>58</v>
      </c>
      <c r="J82" s="3" t="s">
        <v>59</v>
      </c>
      <c r="K82" s="3" t="s">
        <v>60</v>
      </c>
      <c r="L82" s="3" t="s">
        <v>67</v>
      </c>
      <c r="M82" s="3" t="s">
        <v>61</v>
      </c>
      <c r="N82" s="3" t="s">
        <v>65</v>
      </c>
    </row>
    <row r="83" spans="1:14">
      <c r="A83" s="3" t="s">
        <v>39</v>
      </c>
      <c r="B83" s="13">
        <f>COUNTIF('Participant Responses'!N2:N1000,"?lways")</f>
        <v>0</v>
      </c>
      <c r="C83" s="7">
        <f>COUNTIFS('Participant Responses'!N2:N1000,"?lways",'Participant Responses'!$C$2:$C$1000,"m")</f>
        <v>0</v>
      </c>
      <c r="D83" s="4">
        <f>COUNTIFS('Participant Responses'!N2:N1000,"?lways",'Participant Responses'!$C$2:$C$1000,"f")</f>
        <v>0</v>
      </c>
      <c r="E83" s="4">
        <f>COUNTIFS('Participant Responses'!N2:N1000,"?lways",'Participant Responses'!$B$2:$B$1000,"&lt;=4")</f>
        <v>0</v>
      </c>
      <c r="F83" s="4">
        <f>COUNTIFS('Participant Responses'!N2:N1000,"?lways",'Participant Responses'!$B$2:$B$1000,"&gt;=5",'Participant Responses'!$B$2:$B$1000,"&lt;=14")</f>
        <v>0</v>
      </c>
      <c r="G83" s="4">
        <f>COUNTIFS('Participant Responses'!N2:N1000,"?lways",'Participant Responses'!$B$2:$B$1000,"&gt;=15",'Participant Responses'!$B$2:$B$1000,"&lt;=19")</f>
        <v>0</v>
      </c>
      <c r="H83" s="4">
        <f>COUNTIFS('Participant Responses'!N2:N1000,"?lways",'Participant Responses'!$B$2:$B$1000,"&gt;=20",'Participant Responses'!$B$2:$B$1000,"&lt;=24")</f>
        <v>0</v>
      </c>
      <c r="I83" s="4">
        <f>COUNTIFS('Participant Responses'!N2:N1000,"?lways",'Participant Responses'!$B$2:$B$1000,"&gt;=25",'Participant Responses'!$B$2:$B$1000,"&lt;=44")</f>
        <v>0</v>
      </c>
      <c r="J83" s="4">
        <f>COUNTIFS('Participant Responses'!N2:N1000,"?lways",'Participant Responses'!$B$2:$B$1000,"&gt;=45",'Participant Responses'!$B$2:$B$1000,"&lt;=54")</f>
        <v>0</v>
      </c>
      <c r="K83" s="4">
        <f>COUNTIFS('Participant Responses'!N2:N1000,"?lways",'Participant Responses'!$B$2:$B$1000,"&gt;=55",'Participant Responses'!$B$2:$B$1000,"&lt;=64")</f>
        <v>0</v>
      </c>
      <c r="L83" s="4">
        <f>COUNTIFS('Participant Responses'!N2:N1000,"?lways",'Participant Responses'!$B$2:$B$1000,"&gt;=65",'Participant Responses'!$B$2:$B$1000,"&lt;=74")</f>
        <v>0</v>
      </c>
      <c r="M83" s="4">
        <f>COUNTIFS('Participant Responses'!N2:N1000,"?lways",'Participant Responses'!$B$2:$B$1000,"&gt;=75",'Participant Responses'!$B$2:$B$1000,"&lt;=84")</f>
        <v>0</v>
      </c>
      <c r="N83" s="4">
        <f>COUNTIFS('Participant Responses'!N2:N1000,"?lways",'Participant Responses'!$B$2:$B$1000,"&gt;85")</f>
        <v>0</v>
      </c>
    </row>
    <row r="84" spans="1:14">
      <c r="A84" s="3" t="s">
        <v>34</v>
      </c>
      <c r="B84" s="13">
        <f>COUNTIF('Participant Responses'!N2:N1000,"?ometimes")</f>
        <v>0</v>
      </c>
      <c r="C84" s="7">
        <f>COUNTIFS('Participant Responses'!N2:N1000,"?ometimes",'Participant Responses'!$C$2:$C$1000,"m")</f>
        <v>0</v>
      </c>
      <c r="D84" s="4">
        <f>COUNTIFS('Participant Responses'!N2:N1000,"?ometimes",'Participant Responses'!$C$2:$C$1000,"f")</f>
        <v>0</v>
      </c>
      <c r="E84" s="4">
        <f>COUNTIFS('Participant Responses'!N2:N1000,"?ometimes",'Participant Responses'!$B$2:$B$1000,"&lt;=4")</f>
        <v>0</v>
      </c>
      <c r="F84" s="4">
        <f>COUNTIFS('Participant Responses'!N2:N1000,"?ometimes",'Participant Responses'!$B$2:$B$1000,"&gt;=5",'Participant Responses'!$B$2:$B$1000,"&lt;=14")</f>
        <v>0</v>
      </c>
      <c r="G84" s="4">
        <f>COUNTIFS('Participant Responses'!N2:N1000,"?ometimes",'Participant Responses'!$B$2:$B$1000,"&gt;=15",'Participant Responses'!$B$2:$B$1000,"&lt;=19")</f>
        <v>0</v>
      </c>
      <c r="H84" s="4">
        <f>COUNTIFS('Participant Responses'!N2:N1000,"?ometimes",'Participant Responses'!$B$2:$B$1000,"&gt;=20",'Participant Responses'!$B$2:$B$1000,"&lt;=24")</f>
        <v>0</v>
      </c>
      <c r="I84" s="4">
        <f>COUNTIFS('Participant Responses'!N2:N1000,"?ometimes",'Participant Responses'!$B$2:$B$1000,"&gt;=25",'Participant Responses'!$B$2:$B$1000,"&lt;=44")</f>
        <v>0</v>
      </c>
      <c r="J84" s="4">
        <f>COUNTIFS('Participant Responses'!N2:N1000,"?ometimes",'Participant Responses'!$B$2:$B$1000,"&gt;=45",'Participant Responses'!$B$2:$B$1000,"&lt;=54")</f>
        <v>0</v>
      </c>
      <c r="K84" s="4">
        <f>COUNTIFS('Participant Responses'!N2:N1000,"?ometimes",'Participant Responses'!$B$2:$B$1000,"&gt;=55",'Participant Responses'!$B$2:$B$1000,"&lt;=64")</f>
        <v>0</v>
      </c>
      <c r="L84" s="4">
        <f>COUNTIFS('Participant Responses'!N2:N1000,"?ometimes",'Participant Responses'!$B$2:$B$1000,"&gt;=65",'Participant Responses'!$B$2:$B$1000,"&lt;=74")</f>
        <v>0</v>
      </c>
      <c r="M84" s="4">
        <f>COUNTIFS('Participant Responses'!N2:N1000,"?ometimes",'Participant Responses'!$B$2:$B$1000,"&gt;=75",'Participant Responses'!$B$2:$B$1000,"&lt;=84")</f>
        <v>0</v>
      </c>
      <c r="N84" s="4">
        <f>COUNTIFS('Participant Responses'!N2:N1000,"?ometimes",'Participant Responses'!$B$2:$B$1000,"&gt;85")</f>
        <v>0</v>
      </c>
    </row>
    <row r="85" spans="1:14">
      <c r="A85" s="3" t="s">
        <v>40</v>
      </c>
      <c r="B85" s="13">
        <f>COUNTIF('Participant Responses'!N2:N1000,"?ery ?ittle")</f>
        <v>0</v>
      </c>
      <c r="C85" s="7">
        <f>COUNTIFS('Participant Responses'!N2:N1000,"?ery ?ittle",'Participant Responses'!$C$2:$C$1000,"m")</f>
        <v>0</v>
      </c>
      <c r="D85" s="4">
        <f>COUNTIFS('Participant Responses'!N2:N1000,"?ery ?ittle",'Participant Responses'!$C$2:$C$1000,"f")</f>
        <v>0</v>
      </c>
      <c r="E85" s="4">
        <f>COUNTIFS('Participant Responses'!N2:N1000,"?ery ?ittle",'Participant Responses'!$B$2:$B$1000,"&lt;=4")</f>
        <v>0</v>
      </c>
      <c r="F85" s="4">
        <f>COUNTIFS('Participant Responses'!N2:N1000,"?ery ?ittle",'Participant Responses'!$B$2:$B$1000,"&gt;=5",'Participant Responses'!$B$2:$B$1000,"&lt;=14")</f>
        <v>0</v>
      </c>
      <c r="G85" s="4">
        <f>COUNTIFS('Participant Responses'!N2:N1000,"?ery ?ittle",'Participant Responses'!$B$2:$B$1000,"&gt;=15",'Participant Responses'!$B$2:$B$1000,"&lt;=19")</f>
        <v>0</v>
      </c>
      <c r="H85" s="4">
        <f>COUNTIFS('Participant Responses'!N2:N1000,"?ery ?ittle",'Participant Responses'!$B$2:$B$1000,"&gt;=20",'Participant Responses'!$B$2:$B$1000,"&lt;=24")</f>
        <v>0</v>
      </c>
      <c r="I85" s="4">
        <f>COUNTIFS('Participant Responses'!N2:N1000,"?ery ?ittle",'Participant Responses'!$B$2:$B$1000,"&gt;=25",'Participant Responses'!$B$2:$B$1000,"&lt;=44")</f>
        <v>0</v>
      </c>
      <c r="J85" s="4">
        <f>COUNTIFS('Participant Responses'!N2:N1000,"?ery ?ittle",'Participant Responses'!$B$2:$B$1000,"&gt;=45",'Participant Responses'!$B$2:$B$1000,"&lt;=54")</f>
        <v>0</v>
      </c>
      <c r="K85" s="4">
        <f>COUNTIFS('Participant Responses'!N2:N1000,"?ery ?ittle",'Participant Responses'!$B$2:$B$1000,"&gt;=55",'Participant Responses'!$B$2:$B$1000,"&lt;=64")</f>
        <v>0</v>
      </c>
      <c r="L85" s="4">
        <f>COUNTIFS('Participant Responses'!N2:N1000,"?ery ?ittle",'Participant Responses'!$B$2:$B$1000,"&gt;=65",'Participant Responses'!$B$2:$B$1000,"&lt;=74")</f>
        <v>0</v>
      </c>
      <c r="M85" s="4">
        <f>COUNTIFS('Participant Responses'!N2:N1000,"?ery ?ittle",'Participant Responses'!$B$2:$B$1000,"&gt;=75",'Participant Responses'!$B$2:$B$1000,"&lt;=84")</f>
        <v>0</v>
      </c>
      <c r="N85" s="4">
        <f>COUNTIFS('Participant Responses'!N2:N1000,"?ery ?ittle",'Participant Responses'!$B$2:$B$1000,"&gt;85")</f>
        <v>0</v>
      </c>
    </row>
    <row r="86" spans="1:14">
      <c r="A86" s="3" t="s">
        <v>35</v>
      </c>
      <c r="B86" s="13">
        <f>COUNTIF('Participant Responses'!N2:N1000,"?ever")</f>
        <v>0</v>
      </c>
      <c r="C86" s="7">
        <f>COUNTIFS('Participant Responses'!N2:N1000,"?ever",'Participant Responses'!$C$2:$C$1000,"m")</f>
        <v>0</v>
      </c>
      <c r="D86" s="4">
        <f>COUNTIFS('Participant Responses'!N2:N1000,"?ever",'Participant Responses'!$C$2:$C$1000,"f")</f>
        <v>0</v>
      </c>
      <c r="E86" s="4">
        <f>COUNTIFS('Participant Responses'!N2:N1000,"?ever",'Participant Responses'!$B$2:$B$1000,"&lt;=4")</f>
        <v>0</v>
      </c>
      <c r="F86" s="4">
        <f>COUNTIFS('Participant Responses'!N2:N1000,"?ever",'Participant Responses'!$B$2:$B$1000,"&gt;=5",'Participant Responses'!$B$2:$B$1000,"&lt;=14")</f>
        <v>0</v>
      </c>
      <c r="G86" s="4">
        <f>COUNTIFS('Participant Responses'!N2:N1000,"?ever",'Participant Responses'!$B$2:$B$1000,"&gt;=15",'Participant Responses'!$B$2:$B$1000,"&lt;=19")</f>
        <v>0</v>
      </c>
      <c r="H86" s="4">
        <f>COUNTIFS('Participant Responses'!N2:N1000,"?ever",'Participant Responses'!$B$2:$B$1000,"&gt;=20",'Participant Responses'!$B$2:$B$1000,"&lt;=24")</f>
        <v>0</v>
      </c>
      <c r="I86" s="4">
        <f>COUNTIFS('Participant Responses'!N2:N1000,"?ever",'Participant Responses'!$B$2:$B$1000,"&gt;=25",'Participant Responses'!$B$2:$B$1000,"&lt;=44")</f>
        <v>0</v>
      </c>
      <c r="J86" s="4">
        <f>COUNTIFS('Participant Responses'!N2:N1000,"?ever",'Participant Responses'!$B$2:$B$1000,"&gt;=45",'Participant Responses'!$B$2:$B$1000,"&lt;=54")</f>
        <v>0</v>
      </c>
      <c r="K86" s="4">
        <f>COUNTIFS('Participant Responses'!N2:N1000,"?ever",'Participant Responses'!$B$2:$B$1000,"&gt;=55",'Participant Responses'!$B$2:$B$1000,"&lt;=64")</f>
        <v>0</v>
      </c>
      <c r="L86" s="4">
        <f>COUNTIFS('Participant Responses'!N2:N1000,"?ever",'Participant Responses'!$B$2:$B$1000,"&gt;=65",'Participant Responses'!$B$2:$B$1000,"&lt;=74")</f>
        <v>0</v>
      </c>
      <c r="M86" s="4">
        <f>COUNTIFS('Participant Responses'!N2:N1000,"?ever",'Participant Responses'!$B$2:$B$1000,"&gt;=75",'Participant Responses'!$B$2:$B$1000,"&lt;=84")</f>
        <v>0</v>
      </c>
      <c r="N86" s="4">
        <f>COUNTIFS('Participant Responses'!N2:N1000,"?ever",'Participant Responses'!$B$2:$B$1000,"&gt;85")</f>
        <v>0</v>
      </c>
    </row>
    <row r="88" spans="1:14" ht="60">
      <c r="A88" s="6" t="s">
        <v>69</v>
      </c>
      <c r="B88" s="26" t="s">
        <v>64</v>
      </c>
      <c r="C88" s="40" t="s">
        <v>43</v>
      </c>
      <c r="D88" s="33"/>
      <c r="E88" s="33" t="s">
        <v>46</v>
      </c>
      <c r="F88" s="33"/>
      <c r="G88" s="33"/>
      <c r="H88" s="33"/>
      <c r="I88" s="33"/>
      <c r="J88" s="33"/>
      <c r="K88" s="33"/>
      <c r="L88" s="33"/>
      <c r="M88" s="33"/>
      <c r="N88" s="33"/>
    </row>
    <row r="89" spans="1:14">
      <c r="A89" s="3"/>
      <c r="B89" s="27"/>
      <c r="C89" s="17" t="s">
        <v>62</v>
      </c>
      <c r="D89" s="16" t="s">
        <v>63</v>
      </c>
      <c r="E89" s="3" t="s">
        <v>55</v>
      </c>
      <c r="F89" s="3" t="s">
        <v>66</v>
      </c>
      <c r="G89" s="3" t="s">
        <v>56</v>
      </c>
      <c r="H89" s="3" t="s">
        <v>57</v>
      </c>
      <c r="I89" s="3" t="s">
        <v>58</v>
      </c>
      <c r="J89" s="3" t="s">
        <v>59</v>
      </c>
      <c r="K89" s="3" t="s">
        <v>60</v>
      </c>
      <c r="L89" s="3" t="s">
        <v>67</v>
      </c>
      <c r="M89" s="3" t="s">
        <v>61</v>
      </c>
      <c r="N89" s="3" t="s">
        <v>65</v>
      </c>
    </row>
    <row r="90" spans="1:14">
      <c r="A90" s="3" t="s">
        <v>70</v>
      </c>
      <c r="B90" s="13">
        <f>COUNTIF('Participant Responses'!O2:O1000,"?randmother")</f>
        <v>0</v>
      </c>
      <c r="C90" s="7">
        <f>COUNTIFS('Participant Responses'!O2:O1000,"?randmother",'Participant Responses'!$C$2:$C$1000,"m")</f>
        <v>0</v>
      </c>
      <c r="D90" s="4">
        <f>COUNTIFS('Participant Responses'!O2:O1000,"?randmother",'Participant Responses'!$C$2:$C$1000,"f")</f>
        <v>0</v>
      </c>
      <c r="E90" s="4">
        <f>COUNTIFS('Participant Responses'!O2:O1000,"?randmother",'Participant Responses'!$B$2:$B$1000,"&lt;=4")</f>
        <v>0</v>
      </c>
      <c r="F90" s="4">
        <f>COUNTIFS('Participant Responses'!O2:O1000,"?randmother",'Participant Responses'!$B$2:$B$1000,"&gt;=5",'Participant Responses'!$B$2:$B$1000,"&lt;=14")</f>
        <v>0</v>
      </c>
      <c r="G90" s="4">
        <f>COUNTIFS('Participant Responses'!O2:O1000,"?randmother",'Participant Responses'!$B$2:$B$1000,"&gt;=15",'Participant Responses'!$B$2:$B$1000,"&lt;=19")</f>
        <v>0</v>
      </c>
      <c r="H90" s="4">
        <f>COUNTIFS('Participant Responses'!O2:O1000,"?randmother",'Participant Responses'!$B$2:$B$1000,"&gt;=20",'Participant Responses'!$B$2:$B$1000,"&lt;=24")</f>
        <v>0</v>
      </c>
      <c r="I90" s="4">
        <f>COUNTIFS('Participant Responses'!O2:O1000,"?randmother",'Participant Responses'!$B$2:$B$1000,"&gt;=25",'Participant Responses'!$B$2:$B$1000,"&lt;=44")</f>
        <v>0</v>
      </c>
      <c r="J90" s="4">
        <f>COUNTIFS('Participant Responses'!O2:O1000,"?randmother",'Participant Responses'!$B$2:$B$1000,"&gt;=45",'Participant Responses'!$B$2:$B$1000,"&lt;=54")</f>
        <v>0</v>
      </c>
      <c r="K90" s="4">
        <f>COUNTIFS('Participant Responses'!O2:O1000,"?randmother",'Participant Responses'!$B$2:$B$1000,"&gt;=55",'Participant Responses'!$B$2:$B$1000,"&lt;=64")</f>
        <v>0</v>
      </c>
      <c r="L90" s="4">
        <f>COUNTIFS('Participant Responses'!O2:O1000,"?randmother",'Participant Responses'!$B$2:$B$1000,"&gt;=65",'Participant Responses'!$B$2:$B$1000,"&lt;=74")</f>
        <v>0</v>
      </c>
      <c r="M90" s="4">
        <f>COUNTIFS('Participant Responses'!O2:O1000,"?randmother",'Participant Responses'!$B$2:$B$1000,"&gt;=75",'Participant Responses'!$B$2:$B$1000,"&lt;=84")</f>
        <v>0</v>
      </c>
      <c r="N90" s="4">
        <f>COUNTIFS('Participant Responses'!O2:O1000,"?randmother",'Participant Responses'!$B$2:$B$1000,"&gt;85")</f>
        <v>0</v>
      </c>
    </row>
    <row r="91" spans="1:14">
      <c r="A91" s="3" t="s">
        <v>71</v>
      </c>
      <c r="B91" s="13">
        <f>COUNTIF('Participant Responses'!O2:O1000,"?randfather")</f>
        <v>0</v>
      </c>
      <c r="C91" s="7">
        <f>COUNTIFS('Participant Responses'!O2:O1000,"?randfather",'Participant Responses'!$C$2:$C$1000,"m")</f>
        <v>0</v>
      </c>
      <c r="D91" s="4">
        <f>COUNTIFS('Participant Responses'!O2:O1000,"?randfather",'Participant Responses'!$C$2:$C$1000,"f")</f>
        <v>0</v>
      </c>
      <c r="E91" s="4">
        <f>COUNTIFS('Participant Responses'!O2:O1000,"?randfather",'Participant Responses'!$B$2:$B$1000,"&lt;=4")</f>
        <v>0</v>
      </c>
      <c r="F91" s="4">
        <f>COUNTIFS('Participant Responses'!O2:O1000,"?randfather",'Participant Responses'!$B$2:$B$1000,"&gt;=5",'Participant Responses'!$B$2:$B$1000,"&lt;=14")</f>
        <v>0</v>
      </c>
      <c r="G91" s="4">
        <f>COUNTIFS('Participant Responses'!O2:O1000,"?randfather",'Participant Responses'!$B$2:$B$1000,"&gt;=15",'Participant Responses'!$B$2:$B$1000,"&lt;=19")</f>
        <v>0</v>
      </c>
      <c r="H91" s="4">
        <f>COUNTIFS('Participant Responses'!O2:O1000,"?randfather",'Participant Responses'!$B$2:$B$1000,"&gt;=20",'Participant Responses'!$B$2:$B$1000,"&lt;=24")</f>
        <v>0</v>
      </c>
      <c r="I91" s="4">
        <f>COUNTIFS('Participant Responses'!O2:O1000,"?randfather",'Participant Responses'!$B$2:$B$1000,"&gt;=25",'Participant Responses'!$B$2:$B$1000,"&lt;=44")</f>
        <v>0</v>
      </c>
      <c r="J91" s="4">
        <f>COUNTIFS('Participant Responses'!O2:O1000,"?randfather",'Participant Responses'!$B$2:$B$1000,"&gt;=45",'Participant Responses'!$B$2:$B$1000,"&lt;=54")</f>
        <v>0</v>
      </c>
      <c r="K91" s="4">
        <f>COUNTIFS('Participant Responses'!O2:O1000,"?randfather",'Participant Responses'!$B$2:$B$1000,"&gt;=55",'Participant Responses'!$B$2:$B$1000,"&lt;=64")</f>
        <v>0</v>
      </c>
      <c r="L91" s="4">
        <f>COUNTIFS('Participant Responses'!O2:O1000,"?randfather",'Participant Responses'!$B$2:$B$1000,"&gt;=65",'Participant Responses'!$B$2:$B$1000,"&lt;=74")</f>
        <v>0</v>
      </c>
      <c r="M91" s="4">
        <f>COUNTIFS('Participant Responses'!O2:O1000,"?randfather",'Participant Responses'!$B$2:$B$1000,"&gt;=75",'Participant Responses'!$B$2:$B$1000,"&lt;=84")</f>
        <v>0</v>
      </c>
      <c r="N91" s="4">
        <f>COUNTIFS('Participant Responses'!O2:O1000,"?randfather",'Participant Responses'!$B$2:$B$1000,"&gt;85")</f>
        <v>0</v>
      </c>
    </row>
    <row r="92" spans="1:14">
      <c r="A92" s="3" t="s">
        <v>72</v>
      </c>
      <c r="B92" s="13">
        <f>COUNTIF('Participant Responses'!O2:O1000,"?other")</f>
        <v>0</v>
      </c>
      <c r="C92" s="7">
        <f>COUNTIFS('Participant Responses'!O2:O1000,"?other",'Participant Responses'!$C$2:$C$1000,"m")</f>
        <v>0</v>
      </c>
      <c r="D92" s="4">
        <f>COUNTIFS('Participant Responses'!O2:O1000,"?other",'Participant Responses'!$C$2:$C$1000,"f")</f>
        <v>0</v>
      </c>
      <c r="E92" s="4">
        <f>COUNTIFS('Participant Responses'!O2:O1000,"?other",'Participant Responses'!$B$2:$B$1000,"&lt;=4")</f>
        <v>0</v>
      </c>
      <c r="F92" s="4">
        <f>COUNTIFS('Participant Responses'!O2:O1000,"?other",'Participant Responses'!$B$2:$B$1000,"&gt;=5",'Participant Responses'!$B$2:$B$1000,"&lt;=14")</f>
        <v>0</v>
      </c>
      <c r="G92" s="4">
        <f>COUNTIFS('Participant Responses'!O2:O1000,"?other",'Participant Responses'!$B$2:$B$1000,"&gt;=15",'Participant Responses'!$B$2:$B$1000,"&lt;=19")</f>
        <v>0</v>
      </c>
      <c r="H92" s="4">
        <f>COUNTIFS('Participant Responses'!O2:O1000,"?other",'Participant Responses'!$B$2:$B$1000,"&gt;=20",'Participant Responses'!$B$2:$B$1000,"&lt;=24")</f>
        <v>0</v>
      </c>
      <c r="I92" s="4">
        <f>COUNTIFS('Participant Responses'!O2:O1000,"?other",'Participant Responses'!$B$2:$B$1000,"&gt;=25",'Participant Responses'!$B$2:$B$1000,"&lt;=44")</f>
        <v>0</v>
      </c>
      <c r="J92" s="4">
        <f>COUNTIFS('Participant Responses'!O2:O1000,"?other",'Participant Responses'!$B$2:$B$1000,"&gt;=45",'Participant Responses'!$B$2:$B$1000,"&lt;=54")</f>
        <v>0</v>
      </c>
      <c r="K92" s="4">
        <f>COUNTIFS('Participant Responses'!O2:O1000,"?other",'Participant Responses'!$B$2:$B$1000,"&gt;=55",'Participant Responses'!$B$2:$B$1000,"&lt;=64")</f>
        <v>0</v>
      </c>
      <c r="L92" s="4">
        <f>COUNTIFS('Participant Responses'!O2:O1000,"?other",'Participant Responses'!$B$2:$B$1000,"&gt;=65",'Participant Responses'!$B$2:$B$1000,"&lt;=74")</f>
        <v>0</v>
      </c>
      <c r="M92" s="4">
        <f>COUNTIFS('Participant Responses'!O2:O1000,"?other",'Participant Responses'!$B$2:$B$1000,"&gt;=75",'Participant Responses'!$B$2:$B$1000,"&lt;=84")</f>
        <v>0</v>
      </c>
      <c r="N92" s="4">
        <f>COUNTIFS('Participant Responses'!O2:O1000,"?other",'Participant Responses'!$B$2:$B$1000,"&gt;85")</f>
        <v>0</v>
      </c>
    </row>
    <row r="93" spans="1:14">
      <c r="A93" s="3" t="s">
        <v>73</v>
      </c>
      <c r="B93" s="13">
        <f>COUNTIF('Participant Responses'!O2:O1000,"?ather")</f>
        <v>0</v>
      </c>
      <c r="C93" s="7">
        <f>COUNTIFS('Participant Responses'!O2:O1000,"?ather",'Participant Responses'!$C$2:$C$1000,"m")</f>
        <v>0</v>
      </c>
      <c r="D93" s="4">
        <f>COUNTIFS('Participant Responses'!O2:O1000,"?ather",'Participant Responses'!$C$2:$C$1000,"f")</f>
        <v>0</v>
      </c>
      <c r="E93" s="4">
        <f>COUNTIFS('Participant Responses'!O2:O1000,"?ather",'Participant Responses'!$B$2:$B$1000,"&lt;=4")</f>
        <v>0</v>
      </c>
      <c r="F93" s="4">
        <f>COUNTIFS('Participant Responses'!O2:O1000,"?ather",'Participant Responses'!$B$2:$B$1000,"&gt;=5",'Participant Responses'!$B$2:$B$1000,"&lt;=14")</f>
        <v>0</v>
      </c>
      <c r="G93" s="4">
        <f>COUNTIFS('Participant Responses'!O2:O1000,"?ather",'Participant Responses'!$B$2:$B$1000,"&gt;=15",'Participant Responses'!$B$2:$B$1000,"&lt;=19")</f>
        <v>0</v>
      </c>
      <c r="H93" s="4">
        <f>COUNTIFS('Participant Responses'!O2:O1000,"?ather",'Participant Responses'!$B$2:$B$1000,"&gt;=20",'Participant Responses'!$B$2:$B$1000,"&lt;=24")</f>
        <v>0</v>
      </c>
      <c r="I93" s="4">
        <f>COUNTIFS('Participant Responses'!O2:O1000,"?ather",'Participant Responses'!$B$2:$B$1000,"&gt;=25",'Participant Responses'!$B$2:$B$1000,"&lt;=44")</f>
        <v>0</v>
      </c>
      <c r="J93" s="4">
        <f>COUNTIFS('Participant Responses'!O2:O1000,"?ather",'Participant Responses'!$B$2:$B$1000,"&gt;=45",'Participant Responses'!$B$2:$B$1000,"&lt;=54")</f>
        <v>0</v>
      </c>
      <c r="K93" s="4">
        <f>COUNTIFS('Participant Responses'!O2:O1000,"?ather",'Participant Responses'!$B$2:$B$1000,"&gt;=55",'Participant Responses'!$B$2:$B$1000,"&lt;=64")</f>
        <v>0</v>
      </c>
      <c r="L93" s="4">
        <f>COUNTIFS('Participant Responses'!O2:O1000,"?ather",'Participant Responses'!$B$2:$B$1000,"&gt;=65",'Participant Responses'!$B$2:$B$1000,"&lt;=74")</f>
        <v>0</v>
      </c>
      <c r="M93" s="4">
        <f>COUNTIFS('Participant Responses'!O2:O1000,"?ather",'Participant Responses'!$B$2:$B$1000,"&gt;=75",'Participant Responses'!$B$2:$B$1000,"&lt;=84")</f>
        <v>0</v>
      </c>
      <c r="N93" s="4">
        <f>COUNTIFS('Participant Responses'!O2:O1000,"?ather",'Participant Responses'!$B$2:$B$1000,"&gt;85")</f>
        <v>0</v>
      </c>
    </row>
    <row r="94" spans="1:14">
      <c r="A94" s="3" t="s">
        <v>74</v>
      </c>
      <c r="B94" s="13">
        <f>COUNTIF('Participant Responses'!O2:O1000,"?rother*")</f>
        <v>0</v>
      </c>
      <c r="C94" s="7">
        <f>COUNTIFS('Participant Responses'!O2:O1000,"?rother*",'Participant Responses'!$C$2:$C$1000,"m")</f>
        <v>0</v>
      </c>
      <c r="D94" s="4">
        <f>COUNTIFS('Participant Responses'!O2:O1000,"?rother*",'Participant Responses'!$C$2:$C$1000,"f")</f>
        <v>0</v>
      </c>
      <c r="E94" s="4">
        <f>COUNTIFS('Participant Responses'!O2:O1000,"?rother*",'Participant Responses'!$B$2:$B$1000,"&lt;=4")</f>
        <v>0</v>
      </c>
      <c r="F94" s="4">
        <f>COUNTIFS('Participant Responses'!O2:O1000,"?rother*",'Participant Responses'!$B$2:$B$1000,"&gt;=5",'Participant Responses'!$B$2:$B$1000,"&lt;=14")</f>
        <v>0</v>
      </c>
      <c r="G94" s="4">
        <f>COUNTIFS('Participant Responses'!O2:O1000,"?rother*",'Participant Responses'!$B$2:$B$1000,"&gt;=15",'Participant Responses'!$B$2:$B$1000,"&lt;=19")</f>
        <v>0</v>
      </c>
      <c r="H94" s="4">
        <f>COUNTIFS('Participant Responses'!O2:O1000,"?rother*",'Participant Responses'!$B$2:$B$1000,"&gt;=20",'Participant Responses'!$B$2:$B$1000,"&lt;=24")</f>
        <v>0</v>
      </c>
      <c r="I94" s="4">
        <f>COUNTIFS('Participant Responses'!O2:O1000,"?rother*",'Participant Responses'!$B$2:$B$1000,"&gt;=25",'Participant Responses'!$B$2:$B$1000,"&lt;=44")</f>
        <v>0</v>
      </c>
      <c r="J94" s="4">
        <f>COUNTIFS('Participant Responses'!O2:O1000,"?rother*",'Participant Responses'!$B$2:$B$1000,"&gt;=45",'Participant Responses'!$B$2:$B$1000,"&lt;=54")</f>
        <v>0</v>
      </c>
      <c r="K94" s="4">
        <f>COUNTIFS('Participant Responses'!O2:O1000,"?rother*",'Participant Responses'!$B$2:$B$1000,"&gt;=55",'Participant Responses'!$B$2:$B$1000,"&lt;=64")</f>
        <v>0</v>
      </c>
      <c r="L94" s="4">
        <f>COUNTIFS('Participant Responses'!O2:O1000,"?rother*",'Participant Responses'!$B$2:$B$1000,"&gt;=65",'Participant Responses'!$B$2:$B$1000,"&lt;=74")</f>
        <v>0</v>
      </c>
      <c r="M94" s="4">
        <f>COUNTIFS('Participant Responses'!O2:O1000,"?rother*",'Participant Responses'!$B$2:$B$1000,"&gt;=75",'Participant Responses'!$B$2:$B$1000,"&lt;=84")</f>
        <v>0</v>
      </c>
      <c r="N94" s="4">
        <f>COUNTIFS('Participant Responses'!O2:O1000,"?rother*",'Participant Responses'!$B$2:$B$1000,"&gt;85")</f>
        <v>0</v>
      </c>
    </row>
    <row r="95" spans="1:14">
      <c r="A95" s="3" t="s">
        <v>75</v>
      </c>
      <c r="B95" s="13">
        <f>COUNTIF('Participant Responses'!O2:O1000,"?one")</f>
        <v>0</v>
      </c>
      <c r="C95" s="7">
        <f>COUNTIFS('Participant Responses'!O2:O1000,"?one",'Participant Responses'!$C$2:$C$1000,"m")</f>
        <v>0</v>
      </c>
      <c r="D95" s="4">
        <f>COUNTIFS('Participant Responses'!O2:O1000,"?one",'Participant Responses'!$C$2:$C$1000,"f")</f>
        <v>0</v>
      </c>
      <c r="E95" s="4">
        <f>COUNTIFS('Participant Responses'!O2:O1000,"?one",'Participant Responses'!$B$2:$B$1000,"&lt;=4")</f>
        <v>0</v>
      </c>
      <c r="F95" s="4">
        <f>COUNTIFS('Participant Responses'!O2:O1000,"?one",'Participant Responses'!$B$2:$B$1000,"&gt;=5",'Participant Responses'!$B$2:$B$1000,"&lt;=14")</f>
        <v>0</v>
      </c>
      <c r="G95" s="4">
        <f>COUNTIFS('Participant Responses'!O2:O1000,"?one",'Participant Responses'!$B$2:$B$1000,"&gt;=15",'Participant Responses'!$B$2:$B$1000,"&lt;=19")</f>
        <v>0</v>
      </c>
      <c r="H95" s="4">
        <f>COUNTIFS('Participant Responses'!O2:O1000,"?one",'Participant Responses'!$B$2:$B$1000,"&gt;=20",'Participant Responses'!$B$2:$B$1000,"&lt;=24")</f>
        <v>0</v>
      </c>
      <c r="I95" s="4">
        <f>COUNTIFS('Participant Responses'!O2:O1000,"?one",'Participant Responses'!$B$2:$B$1000,"&gt;=25",'Participant Responses'!$B$2:$B$1000,"&lt;=44")</f>
        <v>0</v>
      </c>
      <c r="J95" s="4">
        <f>COUNTIFS('Participant Responses'!O2:O1000,"?one",'Participant Responses'!$B$2:$B$1000,"&gt;=45",'Participant Responses'!$B$2:$B$1000,"&lt;=54")</f>
        <v>0</v>
      </c>
      <c r="K95" s="4">
        <f>COUNTIFS('Participant Responses'!O2:O1000,"?one",'Participant Responses'!$B$2:$B$1000,"&gt;=55",'Participant Responses'!$B$2:$B$1000,"&lt;=64")</f>
        <v>0</v>
      </c>
      <c r="L95" s="4">
        <f>COUNTIFS('Participant Responses'!O2:O1000,"?one",'Participant Responses'!$B$2:$B$1000,"&gt;=65",'Participant Responses'!$B$2:$B$1000,"&lt;=74")</f>
        <v>0</v>
      </c>
      <c r="M95" s="4">
        <f>COUNTIFS('Participant Responses'!O2:O1000,"?one",'Participant Responses'!$B$2:$B$1000,"&gt;=75",'Participant Responses'!$B$2:$B$1000,"&lt;=84")</f>
        <v>0</v>
      </c>
      <c r="N95" s="4">
        <f>COUNTIFS('Participant Responses'!O2:O1000,"?one",'Participant Responses'!$B$2:$B$1000,"&gt;85")</f>
        <v>0</v>
      </c>
    </row>
    <row r="96" spans="1:14">
      <c r="A96" s="3" t="s">
        <v>76</v>
      </c>
      <c r="B96" s="13">
        <f>COUNTIF('Participant Responses'!O2:O1000,"?ther")</f>
        <v>0</v>
      </c>
      <c r="C96" s="7">
        <f>COUNTIFS('Participant Responses'!O2:O1000,"?ther",'Participant Responses'!$C$2:$C$1000,"m")</f>
        <v>0</v>
      </c>
      <c r="D96" s="4">
        <f>COUNTIFS('Participant Responses'!O2:O1000,"?ther",'Participant Responses'!$C$2:$C$1000,"f")</f>
        <v>0</v>
      </c>
      <c r="E96" s="4">
        <f>COUNTIFS('Participant Responses'!O2:O1000,"?ther",'Participant Responses'!$B$2:$B$1000,"&lt;=4")</f>
        <v>0</v>
      </c>
      <c r="F96" s="4">
        <f>COUNTIFS('Participant Responses'!O2:O1000,"?ther",'Participant Responses'!$B$2:$B$1000,"&gt;=5",'Participant Responses'!$B$2:$B$1000,"&lt;=14")</f>
        <v>0</v>
      </c>
      <c r="G96" s="4">
        <f>COUNTIFS('Participant Responses'!O2:O1000,"?ther",'Participant Responses'!$B$2:$B$1000,"&gt;=15",'Participant Responses'!$B$2:$B$1000,"&lt;=19")</f>
        <v>0</v>
      </c>
      <c r="H96" s="4">
        <f>COUNTIFS('Participant Responses'!O2:O1000,"?ther",'Participant Responses'!$B$2:$B$1000,"&gt;=20",'Participant Responses'!$B$2:$B$1000,"&lt;=24")</f>
        <v>0</v>
      </c>
      <c r="I96" s="4">
        <f>COUNTIFS('Participant Responses'!O2:O1000,"?ther",'Participant Responses'!$B$2:$B$1000,"&gt;=25",'Participant Responses'!$B$2:$B$1000,"&lt;=44")</f>
        <v>0</v>
      </c>
      <c r="J96" s="4">
        <f>COUNTIFS('Participant Responses'!O2:O1000,"?ther",'Participant Responses'!$B$2:$B$1000,"&gt;=45",'Participant Responses'!$B$2:$B$1000,"&lt;=54")</f>
        <v>0</v>
      </c>
      <c r="K96" s="4">
        <f>COUNTIFS('Participant Responses'!O2:O1000,"?ther",'Participant Responses'!$B$2:$B$1000,"&gt;=55",'Participant Responses'!$B$2:$B$1000,"&lt;=64")</f>
        <v>0</v>
      </c>
      <c r="L96" s="4">
        <f>COUNTIFS('Participant Responses'!O2:O1000,"?ther",'Participant Responses'!$B$2:$B$1000,"&gt;=65",'Participant Responses'!$B$2:$B$1000,"&lt;=74")</f>
        <v>0</v>
      </c>
      <c r="M96" s="4">
        <f>COUNTIFS('Participant Responses'!O2:O1000,"?ther",'Participant Responses'!$B$2:$B$1000,"&gt;=75",'Participant Responses'!$B$2:$B$1000,"&lt;=84")</f>
        <v>0</v>
      </c>
      <c r="N96" s="4">
        <f>COUNTIFS('Participant Responses'!O2:O1000,"?ther",'Participant Responses'!$B$2:$B$1000,"&gt;85")</f>
        <v>0</v>
      </c>
    </row>
    <row r="97" spans="1:14" ht="33" customHeight="1"/>
    <row r="98" spans="1:14" ht="90">
      <c r="A98" s="6" t="s">
        <v>51</v>
      </c>
      <c r="B98" s="26" t="s">
        <v>64</v>
      </c>
      <c r="C98" s="40" t="s">
        <v>43</v>
      </c>
      <c r="D98" s="33"/>
      <c r="E98" s="33" t="s">
        <v>46</v>
      </c>
      <c r="F98" s="33"/>
      <c r="G98" s="33"/>
      <c r="H98" s="33"/>
      <c r="I98" s="33"/>
      <c r="J98" s="33"/>
      <c r="K98" s="33"/>
      <c r="L98" s="33"/>
      <c r="M98" s="33"/>
      <c r="N98" s="33"/>
    </row>
    <row r="99" spans="1:14">
      <c r="A99" s="3"/>
      <c r="B99" s="27"/>
      <c r="C99" s="17" t="s">
        <v>62</v>
      </c>
      <c r="D99" s="16" t="s">
        <v>63</v>
      </c>
      <c r="E99" s="3" t="s">
        <v>55</v>
      </c>
      <c r="F99" s="3" t="s">
        <v>66</v>
      </c>
      <c r="G99" s="3" t="s">
        <v>56</v>
      </c>
      <c r="H99" s="3" t="s">
        <v>57</v>
      </c>
      <c r="I99" s="3" t="s">
        <v>58</v>
      </c>
      <c r="J99" s="3" t="s">
        <v>59</v>
      </c>
      <c r="K99" s="3" t="s">
        <v>60</v>
      </c>
      <c r="L99" s="3" t="s">
        <v>67</v>
      </c>
      <c r="M99" s="3" t="s">
        <v>61</v>
      </c>
      <c r="N99" s="3" t="s">
        <v>65</v>
      </c>
    </row>
    <row r="100" spans="1:14">
      <c r="A100" s="3" t="s">
        <v>39</v>
      </c>
      <c r="B100" s="13">
        <f>COUNTIF('Participant Responses'!P2:P1000,"?lways")</f>
        <v>0</v>
      </c>
      <c r="C100" s="7">
        <f>COUNTIFS('Participant Responses'!P2:P1000,"?lways",'Participant Responses'!$C$2:$C$1000,"m")</f>
        <v>0</v>
      </c>
      <c r="D100" s="4">
        <f>COUNTIFS('Participant Responses'!P2:P1000,"?lways",'Participant Responses'!$C$2:$C$1000,"f")</f>
        <v>0</v>
      </c>
      <c r="E100" s="4">
        <f>COUNTIFS('Participant Responses'!P2:P1000,"?lways",'Participant Responses'!$B$2:$B$1000,"&lt;=4")</f>
        <v>0</v>
      </c>
      <c r="F100" s="4">
        <f>COUNTIFS('Participant Responses'!P2:P1000,"?lways",'Participant Responses'!$B$2:$B$1000,"&gt;=5",'Participant Responses'!$B$2:$B$1000,"&lt;=14")</f>
        <v>0</v>
      </c>
      <c r="G100" s="4">
        <f>COUNTIFS('Participant Responses'!P2:P1000,"?lways",'Participant Responses'!$B$2:$B$1000,"&gt;=15",'Participant Responses'!$B$2:$B$1000,"&lt;=19")</f>
        <v>0</v>
      </c>
      <c r="H100" s="4">
        <f>COUNTIFS('Participant Responses'!P2:P1000,"?lways",'Participant Responses'!$B$2:$B$1000,"&gt;=20",'Participant Responses'!$B$2:$B$1000,"&lt;=24")</f>
        <v>0</v>
      </c>
      <c r="I100" s="4">
        <f>COUNTIFS('Participant Responses'!P2:P1000,"?lways",'Participant Responses'!$B$2:$B$1000,"&gt;=25",'Participant Responses'!$B$2:$B$1000,"&lt;=44")</f>
        <v>0</v>
      </c>
      <c r="J100" s="4">
        <f>COUNTIFS('Participant Responses'!P2:P1000,"?lways",'Participant Responses'!$B$2:$B$1000,"&gt;=45",'Participant Responses'!$B$2:$B$1000,"&lt;=54")</f>
        <v>0</v>
      </c>
      <c r="K100" s="4">
        <f>COUNTIFS('Participant Responses'!P2:P1000,"?lways",'Participant Responses'!$B$2:$B$1000,"&gt;=55",'Participant Responses'!$B$2:$B$1000,"&lt;=64")</f>
        <v>0</v>
      </c>
      <c r="L100" s="4">
        <f>COUNTIFS('Participant Responses'!P2:P1000,"?lways",'Participant Responses'!$B$2:$B$1000,"&gt;=65",'Participant Responses'!$B$2:$B$1000,"&lt;=74")</f>
        <v>0</v>
      </c>
      <c r="M100" s="4">
        <f>COUNTIFS('Participant Responses'!P2:P1000,"?lways",'Participant Responses'!$B$2:$B$1000,"&gt;=75",'Participant Responses'!$B$2:$B$1000,"&lt;=84")</f>
        <v>0</v>
      </c>
      <c r="N100" s="4">
        <f>COUNTIFS('Participant Responses'!P2:P1000,"?lways",'Participant Responses'!$B$2:$B$1000,"&gt;85")</f>
        <v>0</v>
      </c>
    </row>
    <row r="101" spans="1:14">
      <c r="A101" s="3" t="s">
        <v>34</v>
      </c>
      <c r="B101" s="13">
        <f>COUNTIF('Participant Responses'!P2:P1000,"?ometimes")</f>
        <v>0</v>
      </c>
      <c r="C101" s="7">
        <f>COUNTIFS('Participant Responses'!P2:P1000,"?ometimes",'Participant Responses'!$C$2:$C$1000,"m")</f>
        <v>0</v>
      </c>
      <c r="D101" s="4">
        <f>COUNTIFS('Participant Responses'!P2:P1000,"?ometimes",'Participant Responses'!$C$2:$C$1000,"f")</f>
        <v>0</v>
      </c>
      <c r="E101" s="4">
        <f>COUNTIFS('Participant Responses'!P2:P1000,"?ometimes",'Participant Responses'!$B$2:$B$1000,"&lt;=4")</f>
        <v>0</v>
      </c>
      <c r="F101" s="4">
        <f>COUNTIFS('Participant Responses'!P2:P1000,"?ometimes",'Participant Responses'!$B$2:$B$1000,"&gt;=5",'Participant Responses'!$B$2:$B$1000,"&lt;=14")</f>
        <v>0</v>
      </c>
      <c r="G101" s="4">
        <f>COUNTIFS('Participant Responses'!P2:P1000,"?ometimes",'Participant Responses'!$B$2:$B$1000,"&gt;=15",'Participant Responses'!$B$2:$B$1000,"&lt;=19")</f>
        <v>0</v>
      </c>
      <c r="H101" s="4">
        <f>COUNTIFS('Participant Responses'!P2:P1000,"?ometimes",'Participant Responses'!$B$2:$B$1000,"&gt;=20",'Participant Responses'!$B$2:$B$1000,"&lt;=24")</f>
        <v>0</v>
      </c>
      <c r="I101" s="4">
        <f>COUNTIFS('Participant Responses'!P2:P1000,"?ometimes",'Participant Responses'!$B$2:$B$1000,"&gt;=25",'Participant Responses'!$B$2:$B$1000,"&lt;=44")</f>
        <v>0</v>
      </c>
      <c r="J101" s="4">
        <f>COUNTIFS('Participant Responses'!P2:P1000,"?ometimes",'Participant Responses'!$B$2:$B$1000,"&gt;=45",'Participant Responses'!$B$2:$B$1000,"&lt;=54")</f>
        <v>0</v>
      </c>
      <c r="K101" s="4">
        <f>COUNTIFS('Participant Responses'!P2:P1000,"?ometimes",'Participant Responses'!$B$2:$B$1000,"&gt;=55",'Participant Responses'!$B$2:$B$1000,"&lt;=64")</f>
        <v>0</v>
      </c>
      <c r="L101" s="4">
        <f>COUNTIFS('Participant Responses'!P2:P1000,"?ometimes",'Participant Responses'!$B$2:$B$1000,"&gt;=65",'Participant Responses'!$B$2:$B$1000,"&lt;=74")</f>
        <v>0</v>
      </c>
      <c r="M101" s="4">
        <f>COUNTIFS('Participant Responses'!P2:P1000,"?ometimes",'Participant Responses'!$B$2:$B$1000,"&gt;=75",'Participant Responses'!$B$2:$B$1000,"&lt;=84")</f>
        <v>0</v>
      </c>
      <c r="N101" s="4">
        <f>COUNTIFS('Participant Responses'!P2:P1000,"?ometimes",'Participant Responses'!$B$2:$B$1000,"&gt;85")</f>
        <v>0</v>
      </c>
    </row>
    <row r="102" spans="1:14">
      <c r="A102" s="3" t="s">
        <v>77</v>
      </c>
      <c r="B102" s="13">
        <f>COUNTIF('Participant Responses'!P2:P1000,"?ery ?ittle")</f>
        <v>0</v>
      </c>
      <c r="C102" s="7">
        <f>COUNTIFS('Participant Responses'!P2:P1000,"?ery ?ittle",'Participant Responses'!$C$2:$C$1000,"m")</f>
        <v>0</v>
      </c>
      <c r="D102" s="4">
        <f>COUNTIFS('Participant Responses'!P2:P1000,"?ery ?ittle",'Participant Responses'!$C$2:$C$1000,"f")</f>
        <v>0</v>
      </c>
      <c r="E102" s="4">
        <f>COUNTIFS('Participant Responses'!P2:P1000,"?ery ?ittle",'Participant Responses'!$B$2:$B$1000,"&lt;=4")</f>
        <v>0</v>
      </c>
      <c r="F102" s="4">
        <f>COUNTIFS('Participant Responses'!P2:P1000,"?ery ?ittle",'Participant Responses'!$B$2:$B$1000,"&gt;=5",'Participant Responses'!$B$2:$B$1000,"&lt;=14")</f>
        <v>0</v>
      </c>
      <c r="G102" s="4">
        <f>COUNTIFS('Participant Responses'!P2:P1000,"?ery ?ittle",'Participant Responses'!$B$2:$B$1000,"&gt;=15",'Participant Responses'!$B$2:$B$1000,"&lt;=19")</f>
        <v>0</v>
      </c>
      <c r="H102" s="4">
        <f>COUNTIFS('Participant Responses'!P2:P1000,"?ery ?ittle",'Participant Responses'!$B$2:$B$1000,"&gt;=20",'Participant Responses'!$B$2:$B$1000,"&lt;=24")</f>
        <v>0</v>
      </c>
      <c r="I102" s="4">
        <f>COUNTIFS('Participant Responses'!P2:P1000,"?ery ?ittle",'Participant Responses'!$B$2:$B$1000,"&gt;=25",'Participant Responses'!$B$2:$B$1000,"&lt;=44")</f>
        <v>0</v>
      </c>
      <c r="J102" s="4">
        <f>COUNTIFS('Participant Responses'!P2:P1000,"?ery ?ittle",'Participant Responses'!$B$2:$B$1000,"&gt;=45",'Participant Responses'!$B$2:$B$1000,"&lt;=54")</f>
        <v>0</v>
      </c>
      <c r="K102" s="4">
        <f>COUNTIFS('Participant Responses'!P2:P1000,"?ery ?ittle",'Participant Responses'!$B$2:$B$1000,"&gt;=55",'Participant Responses'!$B$2:$B$1000,"&lt;=64")</f>
        <v>0</v>
      </c>
      <c r="L102" s="4">
        <f>COUNTIFS('Participant Responses'!P2:P1000,"?ery ?ittle",'Participant Responses'!$B$2:$B$1000,"&gt;=65",'Participant Responses'!$B$2:$B$1000,"&lt;=74")</f>
        <v>0</v>
      </c>
      <c r="M102" s="4">
        <f>COUNTIFS('Participant Responses'!P2:P1000,"?ery ?ittle",'Participant Responses'!$B$2:$B$1000,"&gt;=75",'Participant Responses'!$B$2:$B$1000,"&lt;=84")</f>
        <v>0</v>
      </c>
      <c r="N102" s="4">
        <f>COUNTIFS('Participant Responses'!P2:P1000,"?ery ?ittle",'Participant Responses'!$B$2:$B$1000,"&gt;85")</f>
        <v>0</v>
      </c>
    </row>
    <row r="103" spans="1:14">
      <c r="A103" s="3" t="s">
        <v>35</v>
      </c>
      <c r="B103" s="13">
        <f>COUNTIF('Participant Responses'!P2:P1000,"?ever")</f>
        <v>0</v>
      </c>
      <c r="C103" s="7">
        <f>COUNTIFS('Participant Responses'!P2:P1000,"?ever",'Participant Responses'!$C$2:$C$1000,"m")</f>
        <v>0</v>
      </c>
      <c r="D103" s="4">
        <f>COUNTIFS('Participant Responses'!P2:P1000,"?ever",'Participant Responses'!$C$2:$C$1000,"f")</f>
        <v>0</v>
      </c>
      <c r="E103" s="4">
        <f>COUNTIFS('Participant Responses'!P2:P1000,"?ever",'Participant Responses'!$B$2:$B$1000,"&lt;=4")</f>
        <v>0</v>
      </c>
      <c r="F103" s="4">
        <f>COUNTIFS('Participant Responses'!P2:P1000,"?ever",'Participant Responses'!$B$2:$B$1000,"&gt;=5",'Participant Responses'!$B$2:$B$1000,"&lt;=14")</f>
        <v>0</v>
      </c>
      <c r="G103" s="4">
        <f>COUNTIFS('Participant Responses'!P2:P1000,"?ever",'Participant Responses'!$B$2:$B$1000,"&gt;=15",'Participant Responses'!$B$2:$B$1000,"&lt;=19")</f>
        <v>0</v>
      </c>
      <c r="H103" s="4">
        <f>COUNTIFS('Participant Responses'!P2:P1000,"?ever",'Participant Responses'!$B$2:$B$1000,"&gt;=20",'Participant Responses'!$B$2:$B$1000,"&lt;=24")</f>
        <v>0</v>
      </c>
      <c r="I103" s="4">
        <f>COUNTIFS('Participant Responses'!P2:P1000,"?ever",'Participant Responses'!$B$2:$B$1000,"&gt;=25",'Participant Responses'!$B$2:$B$1000,"&lt;=44")</f>
        <v>0</v>
      </c>
      <c r="J103" s="4">
        <f>COUNTIFS('Participant Responses'!P2:P1000,"?ever",'Participant Responses'!$B$2:$B$1000,"&gt;=45",'Participant Responses'!$B$2:$B$1000,"&lt;=54")</f>
        <v>0</v>
      </c>
      <c r="K103" s="4">
        <f>COUNTIFS('Participant Responses'!P2:P1000,"?ever",'Participant Responses'!$B$2:$B$1000,"&gt;=55",'Participant Responses'!$B$2:$B$1000,"&lt;=64")</f>
        <v>0</v>
      </c>
      <c r="L103" s="4">
        <f>COUNTIFS('Participant Responses'!P2:P1000,"?ever",'Participant Responses'!$B$2:$B$1000,"&gt;=65",'Participant Responses'!$B$2:$B$1000,"&lt;=74")</f>
        <v>0</v>
      </c>
      <c r="M103" s="4">
        <f>COUNTIFS('Participant Responses'!P2:P1000,"?ever",'Participant Responses'!$B$2:$B$1000,"&gt;=75",'Participant Responses'!$B$2:$B$1000,"&lt;=84")</f>
        <v>0</v>
      </c>
      <c r="N103" s="4">
        <f>COUNTIFS('Participant Responses'!P2:P1000,"?ever",'Participant Responses'!$B$2:$B$1000,"&gt;85")</f>
        <v>0</v>
      </c>
    </row>
    <row r="104" spans="1:14">
      <c r="A104" s="3" t="s">
        <v>78</v>
      </c>
      <c r="B104" s="13">
        <f>COUNTIF('Participant Responses'!P2:P1000,"NA")</f>
        <v>0</v>
      </c>
      <c r="C104" s="7">
        <f>COUNTIFS('Participant Responses'!P2:P1000,"NA",'Participant Responses'!$C$2:$C$1000,"m")</f>
        <v>0</v>
      </c>
      <c r="D104" s="4">
        <f>COUNTIFS('Participant Responses'!P2:P1000,"NA",'Participant Responses'!$C$2:$C$1000,"f")</f>
        <v>0</v>
      </c>
      <c r="E104" s="4">
        <f>COUNTIFS('Participant Responses'!P2:P1000,"NA",'Participant Responses'!$B$2:$B$1000,"&lt;=4")</f>
        <v>0</v>
      </c>
      <c r="F104" s="4">
        <f>COUNTIFS('Participant Responses'!P2:P1000,"NA",'Participant Responses'!$B$2:$B$1000,"&gt;=5",'Participant Responses'!$B$2:$B$1000,"&lt;=14")</f>
        <v>0</v>
      </c>
      <c r="G104" s="4">
        <f>COUNTIFS('Participant Responses'!P2:P1000,"NA",'Participant Responses'!$B$2:$B$1000,"&gt;=15",'Participant Responses'!$B$2:$B$1000,"&lt;=19")</f>
        <v>0</v>
      </c>
      <c r="H104" s="4">
        <f>COUNTIFS('Participant Responses'!P2:P1000,"NA",'Participant Responses'!$B$2:$B$1000,"&gt;=20",'Participant Responses'!$B$2:$B$1000,"&lt;=24")</f>
        <v>0</v>
      </c>
      <c r="I104" s="4">
        <f>COUNTIFS('Participant Responses'!P2:P1000,"NA",'Participant Responses'!$B$2:$B$1000,"&gt;=25",'Participant Responses'!$B$2:$B$1000,"&lt;=44")</f>
        <v>0</v>
      </c>
      <c r="J104" s="4">
        <f>COUNTIFS('Participant Responses'!P2:P1000,"NA",'Participant Responses'!$B$2:$B$1000,"&gt;=45",'Participant Responses'!$B$2:$B$1000,"&lt;=54")</f>
        <v>0</v>
      </c>
      <c r="K104" s="4">
        <f>COUNTIFS('Participant Responses'!P2:P1000,"NA",'Participant Responses'!$B$2:$B$1000,"&gt;=55",'Participant Responses'!$B$2:$B$1000,"&lt;=64")</f>
        <v>0</v>
      </c>
      <c r="L104" s="4">
        <f>COUNTIFS('Participant Responses'!P2:P1000,"NA",'Participant Responses'!$B$2:$B$1000,"&gt;=65",'Participant Responses'!$B$2:$B$1000,"&lt;=74")</f>
        <v>0</v>
      </c>
      <c r="M104" s="4">
        <f>COUNTIFS('Participant Responses'!P2:P1000,"NA",'Participant Responses'!$B$2:$B$1000,"&gt;=75",'Participant Responses'!$B$2:$B$1000,"&lt;=84")</f>
        <v>0</v>
      </c>
      <c r="N104" s="4">
        <f>COUNTIFS('Participant Responses'!P2:P1000,"NA",'Participant Responses'!$B$2:$B$1000,"&gt;85")</f>
        <v>0</v>
      </c>
    </row>
    <row r="105" spans="1:14" ht="16" thickBot="1">
      <c r="A105"/>
    </row>
    <row r="106" spans="1:14">
      <c r="A106" s="41" t="s">
        <v>47</v>
      </c>
      <c r="B106" s="42"/>
      <c r="C106" s="42"/>
      <c r="D106" s="42"/>
      <c r="E106" s="42"/>
      <c r="F106" s="42"/>
      <c r="G106" s="42"/>
      <c r="H106" s="42"/>
      <c r="I106" s="42"/>
      <c r="J106" s="42"/>
      <c r="K106" s="42"/>
      <c r="L106" s="42"/>
      <c r="M106" s="42"/>
      <c r="N106" s="43"/>
    </row>
    <row r="107" spans="1:14" ht="55" customHeight="1" thickBot="1">
      <c r="A107" s="37" t="s">
        <v>68</v>
      </c>
      <c r="B107" s="38"/>
      <c r="C107" s="38"/>
      <c r="D107" s="38"/>
      <c r="E107" s="38"/>
      <c r="F107" s="38"/>
      <c r="G107" s="38"/>
      <c r="H107" s="38"/>
      <c r="I107" s="38"/>
      <c r="J107" s="38"/>
      <c r="K107" s="38"/>
      <c r="L107" s="38"/>
      <c r="M107" s="38"/>
      <c r="N107" s="39"/>
    </row>
    <row r="109" spans="1:14" ht="90">
      <c r="A109" s="6" t="s">
        <v>79</v>
      </c>
      <c r="B109" s="26" t="s">
        <v>64</v>
      </c>
      <c r="C109" s="40" t="s">
        <v>43</v>
      </c>
      <c r="D109" s="33"/>
      <c r="E109" s="33" t="s">
        <v>46</v>
      </c>
      <c r="F109" s="33"/>
      <c r="G109" s="33"/>
      <c r="H109" s="33"/>
      <c r="I109" s="33"/>
      <c r="J109" s="33"/>
      <c r="K109" s="33"/>
      <c r="L109" s="33"/>
      <c r="M109" s="33"/>
      <c r="N109" s="33"/>
    </row>
    <row r="110" spans="1:14">
      <c r="A110" s="3"/>
      <c r="B110" s="27"/>
      <c r="C110" s="17" t="s">
        <v>62</v>
      </c>
      <c r="D110" s="16" t="s">
        <v>63</v>
      </c>
      <c r="E110" s="3" t="s">
        <v>55</v>
      </c>
      <c r="F110" s="3" t="s">
        <v>66</v>
      </c>
      <c r="G110" s="3" t="s">
        <v>56</v>
      </c>
      <c r="H110" s="3" t="s">
        <v>57</v>
      </c>
      <c r="I110" s="3" t="s">
        <v>58</v>
      </c>
      <c r="J110" s="3" t="s">
        <v>59</v>
      </c>
      <c r="K110" s="3" t="s">
        <v>60</v>
      </c>
      <c r="L110" s="3" t="s">
        <v>67</v>
      </c>
      <c r="M110" s="3" t="s">
        <v>61</v>
      </c>
      <c r="N110" s="3" t="s">
        <v>65</v>
      </c>
    </row>
    <row r="111" spans="1:14">
      <c r="A111" s="3" t="s">
        <v>39</v>
      </c>
      <c r="B111" s="13">
        <f>COUNTIF('Participant Responses'!R2:R1000,"?lways")</f>
        <v>0</v>
      </c>
      <c r="C111" s="7">
        <f>COUNTIFS('Participant Responses'!R2:R1000,"?lways",'Participant Responses'!$C$2:$C$1000,"m")</f>
        <v>0</v>
      </c>
      <c r="D111" s="4">
        <f>COUNTIFS('Participant Responses'!R2:R1000,"?lways",'Participant Responses'!$C$2:$C$1000,"f")</f>
        <v>0</v>
      </c>
      <c r="E111" s="4">
        <f>COUNTIFS('Participant Responses'!R2:R1000,"?lways",'Participant Responses'!$B$2:$B$1000,"&lt;=4")</f>
        <v>0</v>
      </c>
      <c r="F111" s="4">
        <f>COUNTIFS('Participant Responses'!R2:R1000,"?lways",'Participant Responses'!$B$2:$B$1000,"&gt;=5",'Participant Responses'!$B$2:$B$1000,"&lt;=14")</f>
        <v>0</v>
      </c>
      <c r="G111" s="4">
        <f>COUNTIFS('Participant Responses'!R2:R1000,"?lways",'Participant Responses'!$B$2:$B$1000,"&gt;=15",'Participant Responses'!$B$2:$B$1000,"&lt;=19")</f>
        <v>0</v>
      </c>
      <c r="H111" s="4">
        <f>COUNTIFS('Participant Responses'!R2:R1000,"?lways",'Participant Responses'!$B$2:$B$1000,"&gt;=20",'Participant Responses'!$B$2:$B$1000,"&lt;=24")</f>
        <v>0</v>
      </c>
      <c r="I111" s="4">
        <f>COUNTIFS('Participant Responses'!R2:R1000,"?lways",'Participant Responses'!$B$2:$B$1000,"&gt;=25",'Participant Responses'!$B$2:$B$1000,"&lt;=44")</f>
        <v>0</v>
      </c>
      <c r="J111" s="4">
        <f>COUNTIFS('Participant Responses'!R2:R1000,"?lways",'Participant Responses'!$B$2:$B$1000,"&gt;=45",'Participant Responses'!$B$2:$B$1000,"&lt;=54")</f>
        <v>0</v>
      </c>
      <c r="K111" s="4">
        <f>COUNTIFS('Participant Responses'!R2:R1000,"?lways",'Participant Responses'!$B$2:$B$1000,"&gt;=55",'Participant Responses'!$B$2:$B$1000,"&lt;=64")</f>
        <v>0</v>
      </c>
      <c r="L111" s="4">
        <f>COUNTIFS('Participant Responses'!R2:R1000,"?lways",'Participant Responses'!$B$2:$B$1000,"&gt;=65",'Participant Responses'!$B$2:$B$1000,"&lt;=74")</f>
        <v>0</v>
      </c>
      <c r="M111" s="4">
        <f>COUNTIFS('Participant Responses'!R2:R1000,"?lways",'Participant Responses'!$B$2:$B$1000,"&gt;=75",'Participant Responses'!$B$2:$B$1000,"&lt;=84")</f>
        <v>0</v>
      </c>
      <c r="N111" s="4">
        <f>COUNTIFS('Participant Responses'!R2:R1000,"?lways",'Participant Responses'!$B$2:$B$1000,"&gt;85")</f>
        <v>0</v>
      </c>
    </row>
    <row r="112" spans="1:14">
      <c r="A112" s="3" t="s">
        <v>34</v>
      </c>
      <c r="B112" s="13">
        <f>COUNTIF('Participant Responses'!R2:R1000,"?ometimes")</f>
        <v>0</v>
      </c>
      <c r="C112" s="7">
        <f>COUNTIFS('Participant Responses'!R2:R1000,"?ometimes",'Participant Responses'!$C$2:$C$1000,"m")</f>
        <v>0</v>
      </c>
      <c r="D112" s="4">
        <f>COUNTIFS('Participant Responses'!R2:R1000,"?ometimes",'Participant Responses'!$C$2:$C$1000,"f")</f>
        <v>0</v>
      </c>
      <c r="E112" s="4">
        <f>COUNTIFS('Participant Responses'!R2:R1000,"?ometimes",'Participant Responses'!$B$2:$B$1000,"&lt;=4")</f>
        <v>0</v>
      </c>
      <c r="F112" s="4">
        <f>COUNTIFS('Participant Responses'!R2:R1000,"?ometimes",'Participant Responses'!$B$2:$B$1000,"&gt;=5",'Participant Responses'!$B$2:$B$1000,"&lt;=14")</f>
        <v>0</v>
      </c>
      <c r="G112" s="4">
        <f>COUNTIFS('Participant Responses'!R2:R1000,"?ometimes",'Participant Responses'!$B$2:$B$1000,"&gt;=15",'Participant Responses'!$B$2:$B$1000,"&lt;=19")</f>
        <v>0</v>
      </c>
      <c r="H112" s="4">
        <f>COUNTIFS('Participant Responses'!R2:R1000,"?ometimes",'Participant Responses'!$B$2:$B$1000,"&gt;=20",'Participant Responses'!$B$2:$B$1000,"&lt;=24")</f>
        <v>0</v>
      </c>
      <c r="I112" s="4">
        <f>COUNTIFS('Participant Responses'!R2:R1000,"?ometimes",'Participant Responses'!$B$2:$B$1000,"&gt;=25",'Participant Responses'!$B$2:$B$1000,"&lt;=44")</f>
        <v>0</v>
      </c>
      <c r="J112" s="4">
        <f>COUNTIFS('Participant Responses'!R2:R1000,"?ometimes",'Participant Responses'!$B$2:$B$1000,"&gt;=45",'Participant Responses'!$B$2:$B$1000,"&lt;=54")</f>
        <v>0</v>
      </c>
      <c r="K112" s="4">
        <f>COUNTIFS('Participant Responses'!R2:R1000,"?ometimes",'Participant Responses'!$B$2:$B$1000,"&gt;=55",'Participant Responses'!$B$2:$B$1000,"&lt;=64")</f>
        <v>0</v>
      </c>
      <c r="L112" s="4">
        <f>COUNTIFS('Participant Responses'!R2:R1000,"?ometimes",'Participant Responses'!$B$2:$B$1000,"&gt;=65",'Participant Responses'!$B$2:$B$1000,"&lt;=74")</f>
        <v>0</v>
      </c>
      <c r="M112" s="4">
        <f>COUNTIFS('Participant Responses'!R2:R1000,"?ometimes",'Participant Responses'!$B$2:$B$1000,"&gt;=75",'Participant Responses'!$B$2:$B$1000,"&lt;=84")</f>
        <v>0</v>
      </c>
      <c r="N112" s="4">
        <f>COUNTIFS('Participant Responses'!R2:R1000,"?ometimes",'Participant Responses'!$B$2:$B$1000,"&gt;85")</f>
        <v>0</v>
      </c>
    </row>
    <row r="113" spans="1:14">
      <c r="A113" s="3" t="s">
        <v>77</v>
      </c>
      <c r="B113" s="13">
        <f>COUNTIF('Participant Responses'!R2:R1000,"?ery ?ittle")</f>
        <v>0</v>
      </c>
      <c r="C113" s="7">
        <f>COUNTIFS('Participant Responses'!R2:R1000,"?ery ?ittle",'Participant Responses'!$C$2:$C$1000,"m")</f>
        <v>0</v>
      </c>
      <c r="D113" s="4">
        <f>COUNTIFS('Participant Responses'!R2:R1000,"?ery ?ittle",'Participant Responses'!$C$2:$C$1000,"f")</f>
        <v>0</v>
      </c>
      <c r="E113" s="4">
        <f>COUNTIFS('Participant Responses'!R2:R1000,"?ery ?ittle",'Participant Responses'!$B$2:$B$1000,"&lt;=4")</f>
        <v>0</v>
      </c>
      <c r="F113" s="4">
        <f>COUNTIFS('Participant Responses'!R2:R1000,"?ery ?ittle",'Participant Responses'!$B$2:$B$1000,"&gt;=5",'Participant Responses'!$B$2:$B$1000,"&lt;=14")</f>
        <v>0</v>
      </c>
      <c r="G113" s="4">
        <f>COUNTIFS('Participant Responses'!R2:R1000,"?ery ?ittle",'Participant Responses'!$B$2:$B$1000,"&gt;=15",'Participant Responses'!$B$2:$B$1000,"&lt;=19")</f>
        <v>0</v>
      </c>
      <c r="H113" s="4">
        <f>COUNTIFS('Participant Responses'!R2:R1000,"?ery ?ittle",'Participant Responses'!$B$2:$B$1000,"&gt;=20",'Participant Responses'!$B$2:$B$1000,"&lt;=24")</f>
        <v>0</v>
      </c>
      <c r="I113" s="4">
        <f>COUNTIFS('Participant Responses'!R2:R1000,"?ery ?ittle",'Participant Responses'!$B$2:$B$1000,"&gt;=25",'Participant Responses'!$B$2:$B$1000,"&lt;=44")</f>
        <v>0</v>
      </c>
      <c r="J113" s="4">
        <f>COUNTIFS('Participant Responses'!R2:R1000,"?ery ?ittle",'Participant Responses'!$B$2:$B$1000,"&gt;=45",'Participant Responses'!$B$2:$B$1000,"&lt;=54")</f>
        <v>0</v>
      </c>
      <c r="K113" s="4">
        <f>COUNTIFS('Participant Responses'!R2:R1000,"?ery ?ittle",'Participant Responses'!$B$2:$B$1000,"&gt;=55",'Participant Responses'!$B$2:$B$1000,"&lt;=64")</f>
        <v>0</v>
      </c>
      <c r="L113" s="4">
        <f>COUNTIFS('Participant Responses'!R2:R1000,"?ery ?ittle",'Participant Responses'!$B$2:$B$1000,"&gt;=65",'Participant Responses'!$B$2:$B$1000,"&lt;=74")</f>
        <v>0</v>
      </c>
      <c r="M113" s="4">
        <f>COUNTIFS('Participant Responses'!R2:R1000,"?ery ?ittle",'Participant Responses'!$B$2:$B$1000,"&gt;=75",'Participant Responses'!$B$2:$B$1000,"&lt;=84")</f>
        <v>0</v>
      </c>
      <c r="N113" s="4">
        <f>COUNTIFS('Participant Responses'!R2:R1000,"?ery ?ittle",'Participant Responses'!$B$2:$B$1000,"&gt;85")</f>
        <v>0</v>
      </c>
    </row>
    <row r="114" spans="1:14">
      <c r="A114" s="3" t="s">
        <v>35</v>
      </c>
      <c r="B114" s="13">
        <f>COUNTIF('Participant Responses'!R2:R1000,"?ever")</f>
        <v>0</v>
      </c>
      <c r="C114" s="7">
        <f>COUNTIFS('Participant Responses'!R2:R1000,"?ever",'Participant Responses'!$C$2:$C$1000,"m")</f>
        <v>0</v>
      </c>
      <c r="D114" s="4">
        <f>COUNTIFS('Participant Responses'!R2:R1000,"?ever",'Participant Responses'!$C$2:$C$1000,"f")</f>
        <v>0</v>
      </c>
      <c r="E114" s="4">
        <f>COUNTIFS('Participant Responses'!R2:R1000,"?ever",'Participant Responses'!$B$2:$B$1000,"&lt;=4")</f>
        <v>0</v>
      </c>
      <c r="F114" s="4">
        <f>COUNTIFS('Participant Responses'!R2:R1000,"?ever",'Participant Responses'!$B$2:$B$1000,"&gt;=5",'Participant Responses'!$B$2:$B$1000,"&lt;=14")</f>
        <v>0</v>
      </c>
      <c r="G114" s="4">
        <f>COUNTIFS('Participant Responses'!R2:R1000,"?ever",'Participant Responses'!$B$2:$B$1000,"&gt;=15",'Participant Responses'!$B$2:$B$1000,"&lt;=19")</f>
        <v>0</v>
      </c>
      <c r="H114" s="4">
        <f>COUNTIFS('Participant Responses'!R2:R1000,"?ever",'Participant Responses'!$B$2:$B$1000,"&gt;=20",'Participant Responses'!$B$2:$B$1000,"&lt;=24")</f>
        <v>0</v>
      </c>
      <c r="I114" s="4">
        <f>COUNTIFS('Participant Responses'!R2:R1000,"?ever",'Participant Responses'!$B$2:$B$1000,"&gt;=25",'Participant Responses'!$B$2:$B$1000,"&lt;=44")</f>
        <v>0</v>
      </c>
      <c r="J114" s="4">
        <f>COUNTIFS('Participant Responses'!R2:R1000,"?ever",'Participant Responses'!$B$2:$B$1000,"&gt;=45",'Participant Responses'!$B$2:$B$1000,"&lt;=54")</f>
        <v>0</v>
      </c>
      <c r="K114" s="4">
        <f>COUNTIFS('Participant Responses'!R2:R1000,"?ever",'Participant Responses'!$B$2:$B$1000,"&gt;=55",'Participant Responses'!$B$2:$B$1000,"&lt;=64")</f>
        <v>0</v>
      </c>
      <c r="L114" s="4">
        <f>COUNTIFS('Participant Responses'!R2:R1000,"?ever",'Participant Responses'!$B$2:$B$1000,"&gt;=65",'Participant Responses'!$B$2:$B$1000,"&lt;=74")</f>
        <v>0</v>
      </c>
      <c r="M114" s="4">
        <f>COUNTIFS('Participant Responses'!R2:R1000,"?ever",'Participant Responses'!$B$2:$B$1000,"&gt;=75",'Participant Responses'!$B$2:$B$1000,"&lt;=84")</f>
        <v>0</v>
      </c>
      <c r="N114" s="4">
        <f>COUNTIFS('Participant Responses'!R2:R1000,"?ever",'Participant Responses'!$B$2:$B$1000,"&gt;85")</f>
        <v>0</v>
      </c>
    </row>
    <row r="115" spans="1:14">
      <c r="A115" s="3" t="s">
        <v>78</v>
      </c>
      <c r="B115" s="13">
        <f>COUNTIF('Participant Responses'!R2:R1000,"NA")</f>
        <v>0</v>
      </c>
      <c r="C115" s="7">
        <f>COUNTIFS('Participant Responses'!R2:R1000,"NA",'Participant Responses'!$C$2:$C$1000,"m")</f>
        <v>0</v>
      </c>
      <c r="D115" s="4">
        <f>COUNTIFS('Participant Responses'!R2:R1000,"NA",'Participant Responses'!$C$2:$C$1000,"f")</f>
        <v>0</v>
      </c>
      <c r="E115" s="4">
        <f>COUNTIFS('Participant Responses'!R2:R1000,"NA",'Participant Responses'!$B$2:$B$1000,"&lt;=4")</f>
        <v>0</v>
      </c>
      <c r="F115" s="4">
        <f>COUNTIFS('Participant Responses'!R2:R1000,"NA",'Participant Responses'!$B$2:$B$1000,"&gt;=5",'Participant Responses'!$B$2:$B$1000,"&lt;=14")</f>
        <v>0</v>
      </c>
      <c r="G115" s="4">
        <f>COUNTIFS('Participant Responses'!R2:R1000,"NA",'Participant Responses'!$B$2:$B$1000,"&gt;=15",'Participant Responses'!$B$2:$B$1000,"&lt;=19")</f>
        <v>0</v>
      </c>
      <c r="H115" s="4">
        <f>COUNTIFS('Participant Responses'!R2:R1000,"NA",'Participant Responses'!$B$2:$B$1000,"&gt;=20",'Participant Responses'!$B$2:$B$1000,"&lt;=24")</f>
        <v>0</v>
      </c>
      <c r="I115" s="4">
        <f>COUNTIFS('Participant Responses'!R2:R1000,"NA",'Participant Responses'!$B$2:$B$1000,"&gt;=25",'Participant Responses'!$B$2:$B$1000,"&lt;=44")</f>
        <v>0</v>
      </c>
      <c r="J115" s="4">
        <f>COUNTIFS('Participant Responses'!R2:R1000,"NA",'Participant Responses'!$B$2:$B$1000,"&gt;=45",'Participant Responses'!$B$2:$B$1000,"&lt;=54")</f>
        <v>0</v>
      </c>
      <c r="K115" s="4">
        <f>COUNTIFS('Participant Responses'!R2:R1000,"NA",'Participant Responses'!$B$2:$B$1000,"&gt;=55",'Participant Responses'!$B$2:$B$1000,"&lt;=64")</f>
        <v>0</v>
      </c>
      <c r="L115" s="4">
        <f>COUNTIFS('Participant Responses'!R2:R1000,"NA",'Participant Responses'!$B$2:$B$1000,"&gt;=65",'Participant Responses'!$B$2:$B$1000,"&lt;=74")</f>
        <v>0</v>
      </c>
      <c r="M115" s="4">
        <f>COUNTIFS('Participant Responses'!R2:R1000,"NA",'Participant Responses'!$B$2:$B$1000,"&gt;=75",'Participant Responses'!$B$2:$B$1000,"&lt;=84")</f>
        <v>0</v>
      </c>
      <c r="N115" s="4">
        <f>COUNTIFS('Participant Responses'!R2:R1000,"NA",'Participant Responses'!$B$2:$B$1000,"&gt;85")</f>
        <v>0</v>
      </c>
    </row>
    <row r="116" spans="1:14" ht="16" thickBot="1"/>
    <row r="117" spans="1:14">
      <c r="A117" s="41" t="s">
        <v>48</v>
      </c>
      <c r="B117" s="42"/>
      <c r="C117" s="42"/>
      <c r="D117" s="42"/>
      <c r="E117" s="42"/>
      <c r="F117" s="42"/>
      <c r="G117" s="42"/>
      <c r="H117" s="42"/>
      <c r="I117" s="42"/>
      <c r="J117" s="42"/>
      <c r="K117" s="42"/>
      <c r="L117" s="42"/>
      <c r="M117" s="42"/>
      <c r="N117" s="43"/>
    </row>
    <row r="118" spans="1:14" ht="49" customHeight="1" thickBot="1">
      <c r="A118" s="37" t="s">
        <v>68</v>
      </c>
      <c r="B118" s="38"/>
      <c r="C118" s="38"/>
      <c r="D118" s="38"/>
      <c r="E118" s="38"/>
      <c r="F118" s="38"/>
      <c r="G118" s="38"/>
      <c r="H118" s="38"/>
      <c r="I118" s="38"/>
      <c r="J118" s="38"/>
      <c r="K118" s="38"/>
      <c r="L118" s="38"/>
      <c r="M118" s="38"/>
      <c r="N118" s="39"/>
    </row>
    <row r="119" spans="1:14" ht="58" customHeight="1"/>
    <row r="120" spans="1:14" ht="105">
      <c r="A120" s="6" t="s">
        <v>80</v>
      </c>
      <c r="B120" s="26" t="s">
        <v>64</v>
      </c>
      <c r="C120" s="40" t="s">
        <v>43</v>
      </c>
      <c r="D120" s="33"/>
      <c r="E120" s="33" t="s">
        <v>46</v>
      </c>
      <c r="F120" s="33"/>
      <c r="G120" s="33"/>
      <c r="H120" s="33"/>
      <c r="I120" s="33"/>
      <c r="J120" s="33"/>
      <c r="K120" s="33"/>
      <c r="L120" s="33"/>
      <c r="M120" s="33"/>
      <c r="N120" s="33"/>
    </row>
    <row r="121" spans="1:14">
      <c r="A121" s="3"/>
      <c r="B121" s="27"/>
      <c r="C121" s="17" t="s">
        <v>62</v>
      </c>
      <c r="D121" s="16" t="s">
        <v>63</v>
      </c>
      <c r="E121" s="3" t="s">
        <v>55</v>
      </c>
      <c r="F121" s="3" t="s">
        <v>66</v>
      </c>
      <c r="G121" s="3" t="s">
        <v>56</v>
      </c>
      <c r="H121" s="3" t="s">
        <v>57</v>
      </c>
      <c r="I121" s="3" t="s">
        <v>58</v>
      </c>
      <c r="J121" s="3" t="s">
        <v>59</v>
      </c>
      <c r="K121" s="3" t="s">
        <v>60</v>
      </c>
      <c r="L121" s="3" t="s">
        <v>67</v>
      </c>
      <c r="M121" s="3" t="s">
        <v>61</v>
      </c>
      <c r="N121" s="3" t="s">
        <v>65</v>
      </c>
    </row>
    <row r="122" spans="1:14">
      <c r="A122" s="3" t="s">
        <v>39</v>
      </c>
      <c r="B122" s="13">
        <f>COUNTIF('Participant Responses'!T2:T1000,"?lways")</f>
        <v>0</v>
      </c>
      <c r="C122" s="7">
        <f>COUNTIFS('Participant Responses'!T2:T1000,"?lways",'Participant Responses'!$C$2:$C$1000,"m")</f>
        <v>0</v>
      </c>
      <c r="D122" s="4">
        <f>COUNTIFS('Participant Responses'!T2:T1000,"?lways",'Participant Responses'!$C$2:$C$1000,"f")</f>
        <v>0</v>
      </c>
      <c r="E122" s="4">
        <f>COUNTIFS('Participant Responses'!T2:T1000,"?lways",'Participant Responses'!$B$2:$B$1000,"&lt;=4")</f>
        <v>0</v>
      </c>
      <c r="F122" s="4">
        <f>COUNTIFS('Participant Responses'!T2:T1000,"?lways",'Participant Responses'!$B$2:$B$1000,"&gt;=5",'Participant Responses'!$B$2:$B$1000,"&lt;=14")</f>
        <v>0</v>
      </c>
      <c r="G122" s="4">
        <f>COUNTIFS('Participant Responses'!T2:T1000,"?lways",'Participant Responses'!$B$2:$B$1000,"&gt;=15",'Participant Responses'!$B$2:$B$1000,"&lt;=19")</f>
        <v>0</v>
      </c>
      <c r="H122" s="4">
        <f>COUNTIFS('Participant Responses'!T2:T1000,"?lways",'Participant Responses'!$B$2:$B$1000,"&gt;=20",'Participant Responses'!$B$2:$B$1000,"&lt;=24")</f>
        <v>0</v>
      </c>
      <c r="I122" s="4">
        <f>COUNTIFS('Participant Responses'!T2:T1000,"?lways",'Participant Responses'!$B$2:$B$1000,"&gt;=25",'Participant Responses'!$B$2:$B$1000,"&lt;=44")</f>
        <v>0</v>
      </c>
      <c r="J122" s="4">
        <f>COUNTIFS('Participant Responses'!T2:T1000,"?lways",'Participant Responses'!$B$2:$B$1000,"&gt;=45",'Participant Responses'!$B$2:$B$1000,"&lt;=54")</f>
        <v>0</v>
      </c>
      <c r="K122" s="4">
        <f>COUNTIFS('Participant Responses'!T2:T1000,"?lways",'Participant Responses'!$B$2:$B$1000,"&gt;=55",'Participant Responses'!$B$2:$B$1000,"&lt;=64")</f>
        <v>0</v>
      </c>
      <c r="L122" s="4">
        <f>COUNTIFS('Participant Responses'!T2:T1000,"?lways",'Participant Responses'!$B$2:$B$1000,"&gt;=65",'Participant Responses'!$B$2:$B$1000,"&lt;=74")</f>
        <v>0</v>
      </c>
      <c r="M122" s="4">
        <f>COUNTIFS('Participant Responses'!T2:T1000,"?lways",'Participant Responses'!$B$2:$B$1000,"&gt;=75",'Participant Responses'!$B$2:$B$1000,"&lt;=84")</f>
        <v>0</v>
      </c>
      <c r="N122" s="4">
        <f>COUNTIFS('Participant Responses'!T2:T1000,"?lways",'Participant Responses'!$B$2:$B$1000,"&gt;85")</f>
        <v>0</v>
      </c>
    </row>
    <row r="123" spans="1:14">
      <c r="A123" s="3" t="s">
        <v>34</v>
      </c>
      <c r="B123" s="13">
        <f>COUNTIF('Participant Responses'!T2:T1000,"?ometimes")</f>
        <v>0</v>
      </c>
      <c r="C123" s="7">
        <f>COUNTIFS('Participant Responses'!T2:T1000,"?ometimes",'Participant Responses'!$C$2:$C$1000,"m")</f>
        <v>0</v>
      </c>
      <c r="D123" s="4">
        <f>COUNTIFS('Participant Responses'!T2:T1000,"?ometimes",'Participant Responses'!$C$2:$C$1000,"f")</f>
        <v>0</v>
      </c>
      <c r="E123" s="4">
        <f>COUNTIFS('Participant Responses'!T2:T1000,"?ometimes",'Participant Responses'!$B$2:$B$1000,"&lt;=4")</f>
        <v>0</v>
      </c>
      <c r="F123" s="4">
        <f>COUNTIFS('Participant Responses'!T2:T1000,"?ometimes",'Participant Responses'!$B$2:$B$1000,"&gt;=5",'Participant Responses'!$B$2:$B$1000,"&lt;=14")</f>
        <v>0</v>
      </c>
      <c r="G123" s="4">
        <f>COUNTIFS('Participant Responses'!T2:T1000,"?ometimes",'Participant Responses'!$B$2:$B$1000,"&gt;=15",'Participant Responses'!$B$2:$B$1000,"&lt;=19")</f>
        <v>0</v>
      </c>
      <c r="H123" s="4">
        <f>COUNTIFS('Participant Responses'!T2:T1000,"?ometimes",'Participant Responses'!$B$2:$B$1000,"&gt;=20",'Participant Responses'!$B$2:$B$1000,"&lt;=24")</f>
        <v>0</v>
      </c>
      <c r="I123" s="4">
        <f>COUNTIFS('Participant Responses'!T2:T1000,"?ometimes",'Participant Responses'!$B$2:$B$1000,"&gt;=25",'Participant Responses'!$B$2:$B$1000,"&lt;=44")</f>
        <v>0</v>
      </c>
      <c r="J123" s="4">
        <f>COUNTIFS('Participant Responses'!T2:T1000,"?ometimes",'Participant Responses'!$B$2:$B$1000,"&gt;=45",'Participant Responses'!$B$2:$B$1000,"&lt;=54")</f>
        <v>0</v>
      </c>
      <c r="K123" s="4">
        <f>COUNTIFS('Participant Responses'!T2:T1000,"?ometimes",'Participant Responses'!$B$2:$B$1000,"&gt;=55",'Participant Responses'!$B$2:$B$1000,"&lt;=64")</f>
        <v>0</v>
      </c>
      <c r="L123" s="4">
        <f>COUNTIFS('Participant Responses'!T2:T1000,"?ometimes",'Participant Responses'!$B$2:$B$1000,"&gt;=65",'Participant Responses'!$B$2:$B$1000,"&lt;=74")</f>
        <v>0</v>
      </c>
      <c r="M123" s="4">
        <f>COUNTIFS('Participant Responses'!T2:T1000,"?ometimes",'Participant Responses'!$B$2:$B$1000,"&gt;=75",'Participant Responses'!$B$2:$B$1000,"&lt;=84")</f>
        <v>0</v>
      </c>
      <c r="N123" s="4">
        <f>COUNTIFS('Participant Responses'!T2:T1000,"?ometimes",'Participant Responses'!$B$2:$B$1000,"&gt;85")</f>
        <v>0</v>
      </c>
    </row>
    <row r="124" spans="1:14">
      <c r="A124" s="3" t="s">
        <v>77</v>
      </c>
      <c r="B124" s="13">
        <f>COUNTIF('Participant Responses'!T2:T1000,"?ery ?ittle")</f>
        <v>0</v>
      </c>
      <c r="C124" s="7">
        <f>COUNTIFS('Participant Responses'!T2:T1000,"?ery ?ittle",'Participant Responses'!$C$2:$C$1000,"m")</f>
        <v>0</v>
      </c>
      <c r="D124" s="4">
        <f>COUNTIFS('Participant Responses'!T2:T1000,"?ery ?ittle",'Participant Responses'!$C$2:$C$1000,"f")</f>
        <v>0</v>
      </c>
      <c r="E124" s="4">
        <f>COUNTIFS('Participant Responses'!T2:T1000,"?ery ?ittle",'Participant Responses'!$B$2:$B$1000,"&lt;=4")</f>
        <v>0</v>
      </c>
      <c r="F124" s="4">
        <f>COUNTIFS('Participant Responses'!T2:T1000,"?ery ?ittle",'Participant Responses'!$B$2:$B$1000,"&gt;=5",'Participant Responses'!$B$2:$B$1000,"&lt;=14")</f>
        <v>0</v>
      </c>
      <c r="G124" s="4">
        <f>COUNTIFS('Participant Responses'!T2:T1000,"?ery ?ittle",'Participant Responses'!$B$2:$B$1000,"&gt;=15",'Participant Responses'!$B$2:$B$1000,"&lt;=19")</f>
        <v>0</v>
      </c>
      <c r="H124" s="4">
        <f>COUNTIFS('Participant Responses'!T2:T1000,"?ery ?ittle",'Participant Responses'!$B$2:$B$1000,"&gt;=20",'Participant Responses'!$B$2:$B$1000,"&lt;=24")</f>
        <v>0</v>
      </c>
      <c r="I124" s="4">
        <f>COUNTIFS('Participant Responses'!T2:T1000,"?ery ?ittle",'Participant Responses'!$B$2:$B$1000,"&gt;=25",'Participant Responses'!$B$2:$B$1000,"&lt;=44")</f>
        <v>0</v>
      </c>
      <c r="J124" s="4">
        <f>COUNTIFS('Participant Responses'!T2:T1000,"?ery ?ittle",'Participant Responses'!$B$2:$B$1000,"&gt;=45",'Participant Responses'!$B$2:$B$1000,"&lt;=54")</f>
        <v>0</v>
      </c>
      <c r="K124" s="4">
        <f>COUNTIFS('Participant Responses'!T2:T1000,"?ery ?ittle",'Participant Responses'!$B$2:$B$1000,"&gt;=55",'Participant Responses'!$B$2:$B$1000,"&lt;=64")</f>
        <v>0</v>
      </c>
      <c r="L124" s="4">
        <f>COUNTIFS('Participant Responses'!T2:T1000,"?ery ?ittle",'Participant Responses'!$B$2:$B$1000,"&gt;=65",'Participant Responses'!$B$2:$B$1000,"&lt;=74")</f>
        <v>0</v>
      </c>
      <c r="M124" s="4">
        <f>COUNTIFS('Participant Responses'!T2:T1000,"?ery ?ittle",'Participant Responses'!$B$2:$B$1000,"&gt;=75",'Participant Responses'!$B$2:$B$1000,"&lt;=84")</f>
        <v>0</v>
      </c>
      <c r="N124" s="4">
        <f>COUNTIFS('Participant Responses'!T2:T1000,"?ery ?ittle",'Participant Responses'!$B$2:$B$1000,"&gt;85")</f>
        <v>0</v>
      </c>
    </row>
    <row r="125" spans="1:14">
      <c r="A125" s="3" t="s">
        <v>35</v>
      </c>
      <c r="B125" s="13">
        <f>COUNTIF('Participant Responses'!T2:T1000,"?ever")</f>
        <v>0</v>
      </c>
      <c r="C125" s="7">
        <f>COUNTIFS('Participant Responses'!T2:T1000,"?ever",'Participant Responses'!$C$2:$C$1000,"m")</f>
        <v>0</v>
      </c>
      <c r="D125" s="4">
        <f>COUNTIFS('Participant Responses'!T2:T1000,"?ever",'Participant Responses'!$C$2:$C$1000,"f")</f>
        <v>0</v>
      </c>
      <c r="E125" s="4">
        <f>COUNTIFS('Participant Responses'!T2:T1000,"?ever",'Participant Responses'!$B$2:$B$1000,"&lt;=4")</f>
        <v>0</v>
      </c>
      <c r="F125" s="4">
        <f>COUNTIFS('Participant Responses'!T2:T1000,"?ever",'Participant Responses'!$B$2:$B$1000,"&gt;=5",'Participant Responses'!$B$2:$B$1000,"&lt;=14")</f>
        <v>0</v>
      </c>
      <c r="G125" s="4">
        <f>COUNTIFS('Participant Responses'!T2:T1000,"?ever",'Participant Responses'!$B$2:$B$1000,"&gt;=15",'Participant Responses'!$B$2:$B$1000,"&lt;=19")</f>
        <v>0</v>
      </c>
      <c r="H125" s="4">
        <f>COUNTIFS('Participant Responses'!T2:T1000,"?ever",'Participant Responses'!$B$2:$B$1000,"&gt;=20",'Participant Responses'!$B$2:$B$1000,"&lt;=24")</f>
        <v>0</v>
      </c>
      <c r="I125" s="4">
        <f>COUNTIFS('Participant Responses'!T2:T1000,"?ever",'Participant Responses'!$B$2:$B$1000,"&gt;=25",'Participant Responses'!$B$2:$B$1000,"&lt;=44")</f>
        <v>0</v>
      </c>
      <c r="J125" s="4">
        <f>COUNTIFS('Participant Responses'!T2:T1000,"?ever",'Participant Responses'!$B$2:$B$1000,"&gt;=45",'Participant Responses'!$B$2:$B$1000,"&lt;=54")</f>
        <v>0</v>
      </c>
      <c r="K125" s="4">
        <f>COUNTIFS('Participant Responses'!T2:T1000,"?ever",'Participant Responses'!$B$2:$B$1000,"&gt;=55",'Participant Responses'!$B$2:$B$1000,"&lt;=64")</f>
        <v>0</v>
      </c>
      <c r="L125" s="4">
        <f>COUNTIFS('Participant Responses'!T2:T1000,"?ever",'Participant Responses'!$B$2:$B$1000,"&gt;=65",'Participant Responses'!$B$2:$B$1000,"&lt;=74")</f>
        <v>0</v>
      </c>
      <c r="M125" s="4">
        <f>COUNTIFS('Participant Responses'!T2:T1000,"?ever",'Participant Responses'!$B$2:$B$1000,"&gt;=75",'Participant Responses'!$B$2:$B$1000,"&lt;=84")</f>
        <v>0</v>
      </c>
      <c r="N125" s="4">
        <f>COUNTIFS('Participant Responses'!T2:T1000,"?ever",'Participant Responses'!$B$2:$B$1000,"&gt;85")</f>
        <v>0</v>
      </c>
    </row>
    <row r="126" spans="1:14">
      <c r="A126" s="3" t="s">
        <v>78</v>
      </c>
      <c r="B126" s="13">
        <f>COUNTIF('Participant Responses'!T2:T1000,"NA")</f>
        <v>0</v>
      </c>
      <c r="C126" s="7">
        <f>COUNTIFS('Participant Responses'!T2:T1000,"NA",'Participant Responses'!$C$2:$C$1000,"m")</f>
        <v>0</v>
      </c>
      <c r="D126" s="4">
        <f>COUNTIFS('Participant Responses'!T2:T1000,"NA",'Participant Responses'!$C$2:$C$1000,"f")</f>
        <v>0</v>
      </c>
      <c r="E126" s="4">
        <f>COUNTIFS('Participant Responses'!T2:T1000,"NA",'Participant Responses'!$B$2:$B$1000,"&lt;=4")</f>
        <v>0</v>
      </c>
      <c r="F126" s="4">
        <f>COUNTIFS('Participant Responses'!T2:T1000,"NA",'Participant Responses'!$B$2:$B$1000,"&gt;=5",'Participant Responses'!$B$2:$B$1000,"&lt;=14")</f>
        <v>0</v>
      </c>
      <c r="G126" s="4">
        <f>COUNTIFS('Participant Responses'!T2:T1000,"NA",'Participant Responses'!$B$2:$B$1000,"&gt;=15",'Participant Responses'!$B$2:$B$1000,"&lt;=19")</f>
        <v>0</v>
      </c>
      <c r="H126" s="4">
        <f>COUNTIFS('Participant Responses'!T2:T1000,"NA",'Participant Responses'!$B$2:$B$1000,"&gt;=20",'Participant Responses'!$B$2:$B$1000,"&lt;=24")</f>
        <v>0</v>
      </c>
      <c r="I126" s="4">
        <f>COUNTIFS('Participant Responses'!T2:T1000,"NA",'Participant Responses'!$B$2:$B$1000,"&gt;=25",'Participant Responses'!$B$2:$B$1000,"&lt;=44")</f>
        <v>0</v>
      </c>
      <c r="J126" s="4">
        <f>COUNTIFS('Participant Responses'!T2:T1000,"NA",'Participant Responses'!$B$2:$B$1000,"&gt;=45",'Participant Responses'!$B$2:$B$1000,"&lt;=54")</f>
        <v>0</v>
      </c>
      <c r="K126" s="4">
        <f>COUNTIFS('Participant Responses'!T2:T1000,"NA",'Participant Responses'!$B$2:$B$1000,"&gt;=55",'Participant Responses'!$B$2:$B$1000,"&lt;=64")</f>
        <v>0</v>
      </c>
      <c r="L126" s="4">
        <f>COUNTIFS('Participant Responses'!T2:T1000,"NA",'Participant Responses'!$B$2:$B$1000,"&gt;=65",'Participant Responses'!$B$2:$B$1000,"&lt;=74")</f>
        <v>0</v>
      </c>
      <c r="M126" s="4">
        <f>COUNTIFS('Participant Responses'!T2:T1000,"NA",'Participant Responses'!$B$2:$B$1000,"&gt;=75",'Participant Responses'!$B$2:$B$1000,"&lt;=84")</f>
        <v>0</v>
      </c>
      <c r="N126" s="4">
        <f>COUNTIFS('Participant Responses'!T2:T1000,"NA",'Participant Responses'!$B$2:$B$1000,"&gt;85")</f>
        <v>0</v>
      </c>
    </row>
    <row r="127" spans="1:14" ht="16" thickBot="1"/>
    <row r="128" spans="1:14">
      <c r="A128" s="41" t="s">
        <v>81</v>
      </c>
      <c r="B128" s="42"/>
      <c r="C128" s="42"/>
      <c r="D128" s="42"/>
      <c r="E128" s="42"/>
      <c r="F128" s="42"/>
      <c r="G128" s="42"/>
      <c r="H128" s="42"/>
      <c r="I128" s="42"/>
      <c r="J128" s="42"/>
      <c r="K128" s="42"/>
      <c r="L128" s="42"/>
      <c r="M128" s="42"/>
      <c r="N128" s="43"/>
    </row>
    <row r="129" spans="1:14" ht="47" customHeight="1" thickBot="1">
      <c r="A129" s="37" t="s">
        <v>68</v>
      </c>
      <c r="B129" s="38"/>
      <c r="C129" s="38"/>
      <c r="D129" s="38"/>
      <c r="E129" s="38"/>
      <c r="F129" s="38"/>
      <c r="G129" s="38"/>
      <c r="H129" s="38"/>
      <c r="I129" s="38"/>
      <c r="J129" s="38"/>
      <c r="K129" s="38"/>
      <c r="L129" s="38"/>
      <c r="M129" s="38"/>
      <c r="N129" s="39"/>
    </row>
    <row r="130" spans="1:14" ht="30" customHeight="1"/>
    <row r="131" spans="1:14" ht="120">
      <c r="A131" s="6" t="s">
        <v>82</v>
      </c>
      <c r="B131" s="26" t="s">
        <v>64</v>
      </c>
      <c r="C131" s="40" t="s">
        <v>43</v>
      </c>
      <c r="D131" s="33"/>
      <c r="E131" s="33" t="s">
        <v>46</v>
      </c>
      <c r="F131" s="33"/>
      <c r="G131" s="33"/>
      <c r="H131" s="33"/>
      <c r="I131" s="33"/>
      <c r="J131" s="33"/>
      <c r="K131" s="33"/>
      <c r="L131" s="33"/>
      <c r="M131" s="33"/>
      <c r="N131" s="33"/>
    </row>
    <row r="132" spans="1:14">
      <c r="A132" s="3"/>
      <c r="B132" s="27"/>
      <c r="C132" s="17" t="s">
        <v>62</v>
      </c>
      <c r="D132" s="16" t="s">
        <v>63</v>
      </c>
      <c r="E132" s="3" t="s">
        <v>55</v>
      </c>
      <c r="F132" s="3" t="s">
        <v>66</v>
      </c>
      <c r="G132" s="3" t="s">
        <v>56</v>
      </c>
      <c r="H132" s="3" t="s">
        <v>57</v>
      </c>
      <c r="I132" s="3" t="s">
        <v>58</v>
      </c>
      <c r="J132" s="3" t="s">
        <v>59</v>
      </c>
      <c r="K132" s="3" t="s">
        <v>60</v>
      </c>
      <c r="L132" s="3" t="s">
        <v>67</v>
      </c>
      <c r="M132" s="3" t="s">
        <v>61</v>
      </c>
      <c r="N132" s="3" t="s">
        <v>65</v>
      </c>
    </row>
    <row r="133" spans="1:14">
      <c r="A133" s="3" t="s">
        <v>39</v>
      </c>
      <c r="B133" s="13">
        <f>COUNTIF('Participant Responses'!V2:V1000,"?lways")</f>
        <v>0</v>
      </c>
      <c r="C133" s="7">
        <f>COUNTIFS('Participant Responses'!V2:V1000,"?lways",'Participant Responses'!$C$2:$C$1000,"m")</f>
        <v>0</v>
      </c>
      <c r="D133" s="4">
        <f>COUNTIFS('Participant Responses'!V2:V1000,"?lways",'Participant Responses'!$C$2:$C$1000,"f")</f>
        <v>0</v>
      </c>
      <c r="E133" s="4">
        <f>COUNTIFS('Participant Responses'!V2:V1000,"?lways",'Participant Responses'!$B$2:$B$1000,"&lt;=4")</f>
        <v>0</v>
      </c>
      <c r="F133" s="4">
        <f>COUNTIFS('Participant Responses'!V2:V1000,"?lways",'Participant Responses'!$B$2:$B$1000,"&gt;=5",'Participant Responses'!$B$2:$B$1000,"&lt;=14")</f>
        <v>0</v>
      </c>
      <c r="G133" s="4">
        <f>COUNTIFS('Participant Responses'!V2:V1000,"?lways",'Participant Responses'!$B$2:$B$1000,"&gt;=15",'Participant Responses'!$B$2:$B$1000,"&lt;=19")</f>
        <v>0</v>
      </c>
      <c r="H133" s="4">
        <f>COUNTIFS('Participant Responses'!V2:V1000,"?lways",'Participant Responses'!$B$2:$B$1000,"&gt;=20",'Participant Responses'!$B$2:$B$1000,"&lt;=24")</f>
        <v>0</v>
      </c>
      <c r="I133" s="4">
        <f>COUNTIFS('Participant Responses'!V2:V1000,"?lways",'Participant Responses'!$B$2:$B$1000,"&gt;=25",'Participant Responses'!$B$2:$B$1000,"&lt;=44")</f>
        <v>0</v>
      </c>
      <c r="J133" s="4">
        <f>COUNTIFS('Participant Responses'!V2:V1000,"?lways",'Participant Responses'!$B$2:$B$1000,"&gt;=45",'Participant Responses'!$B$2:$B$1000,"&lt;=54")</f>
        <v>0</v>
      </c>
      <c r="K133" s="4">
        <f>COUNTIFS('Participant Responses'!V2:V1000,"?lways",'Participant Responses'!$B$2:$B$1000,"&gt;=55",'Participant Responses'!$B$2:$B$1000,"&lt;=64")</f>
        <v>0</v>
      </c>
      <c r="L133" s="4">
        <f>COUNTIFS('Participant Responses'!V2:V1000,"?lways",'Participant Responses'!$B$2:$B$1000,"&gt;=65",'Participant Responses'!$B$2:$B$1000,"&lt;=74")</f>
        <v>0</v>
      </c>
      <c r="M133" s="4">
        <f>COUNTIFS('Participant Responses'!V2:V1000,"?lways",'Participant Responses'!$B$2:$B$1000,"&gt;=75",'Participant Responses'!$B$2:$B$1000,"&lt;=84")</f>
        <v>0</v>
      </c>
      <c r="N133" s="4">
        <f>COUNTIFS('Participant Responses'!V2:V1000,"?lways",'Participant Responses'!$B$2:$B$1000,"&gt;85")</f>
        <v>0</v>
      </c>
    </row>
    <row r="134" spans="1:14">
      <c r="A134" s="3" t="s">
        <v>34</v>
      </c>
      <c r="B134" s="13">
        <f>COUNTIF('Participant Responses'!V2:V1000,"?ometimes")</f>
        <v>0</v>
      </c>
      <c r="C134" s="7">
        <f>COUNTIFS('Participant Responses'!V2:V1000,"?ometimes",'Participant Responses'!$C$2:$C$1000,"m")</f>
        <v>0</v>
      </c>
      <c r="D134" s="4">
        <f>COUNTIFS('Participant Responses'!V2:V1000,"?ometimes",'Participant Responses'!$C$2:$C$1000,"f")</f>
        <v>0</v>
      </c>
      <c r="E134" s="4">
        <f>COUNTIFS('Participant Responses'!V2:V1000,"?ometimes",'Participant Responses'!$B$2:$B$1000,"&lt;=4")</f>
        <v>0</v>
      </c>
      <c r="F134" s="4">
        <f>COUNTIFS('Participant Responses'!V2:V1000,"?ometimes",'Participant Responses'!$B$2:$B$1000,"&gt;=5",'Participant Responses'!$B$2:$B$1000,"&lt;=14")</f>
        <v>0</v>
      </c>
      <c r="G134" s="4">
        <f>COUNTIFS('Participant Responses'!V2:V1000,"?ometimes",'Participant Responses'!$B$2:$B$1000,"&gt;=15",'Participant Responses'!$B$2:$B$1000,"&lt;=19")</f>
        <v>0</v>
      </c>
      <c r="H134" s="4">
        <f>COUNTIFS('Participant Responses'!V2:V1000,"?ometimes",'Participant Responses'!$B$2:$B$1000,"&gt;=20",'Participant Responses'!$B$2:$B$1000,"&lt;=24")</f>
        <v>0</v>
      </c>
      <c r="I134" s="4">
        <f>COUNTIFS('Participant Responses'!V2:V1000,"?ometimes",'Participant Responses'!$B$2:$B$1000,"&gt;=25",'Participant Responses'!$B$2:$B$1000,"&lt;=44")</f>
        <v>0</v>
      </c>
      <c r="J134" s="4">
        <f>COUNTIFS('Participant Responses'!V2:V1000,"?ometimes",'Participant Responses'!$B$2:$B$1000,"&gt;=45",'Participant Responses'!$B$2:$B$1000,"&lt;=54")</f>
        <v>0</v>
      </c>
      <c r="K134" s="4">
        <f>COUNTIFS('Participant Responses'!V2:V1000,"?ometimes",'Participant Responses'!$B$2:$B$1000,"&gt;=55",'Participant Responses'!$B$2:$B$1000,"&lt;=64")</f>
        <v>0</v>
      </c>
      <c r="L134" s="4">
        <f>COUNTIFS('Participant Responses'!V2:V1000,"?ometimes",'Participant Responses'!$B$2:$B$1000,"&gt;=65",'Participant Responses'!$B$2:$B$1000,"&lt;=74")</f>
        <v>0</v>
      </c>
      <c r="M134" s="4">
        <f>COUNTIFS('Participant Responses'!V2:V1000,"?ometimes",'Participant Responses'!$B$2:$B$1000,"&gt;=75",'Participant Responses'!$B$2:$B$1000,"&lt;=84")</f>
        <v>0</v>
      </c>
      <c r="N134" s="4">
        <f>COUNTIFS('Participant Responses'!V2:V1000,"?ometimes",'Participant Responses'!$B$2:$B$1000,"&gt;85")</f>
        <v>0</v>
      </c>
    </row>
    <row r="135" spans="1:14">
      <c r="A135" s="3" t="s">
        <v>77</v>
      </c>
      <c r="B135" s="13">
        <f>COUNTIF('Participant Responses'!V2:V1000,"?ery ?ittle")</f>
        <v>0</v>
      </c>
      <c r="C135" s="7">
        <f>COUNTIFS('Participant Responses'!V2:V1000,"?ery ?ittle",'Participant Responses'!$C$2:$C$1000,"m")</f>
        <v>0</v>
      </c>
      <c r="D135" s="4">
        <f>COUNTIFS('Participant Responses'!V2:V1000,"?ery ?ittle",'Participant Responses'!$C$2:$C$1000,"f")</f>
        <v>0</v>
      </c>
      <c r="E135" s="4">
        <f>COUNTIFS('Participant Responses'!V2:V1000,"?ery ?ittle",'Participant Responses'!$B$2:$B$1000,"&lt;=4")</f>
        <v>0</v>
      </c>
      <c r="F135" s="4">
        <f>COUNTIFS('Participant Responses'!V2:V1000,"?ery ?ittle",'Participant Responses'!$B$2:$B$1000,"&gt;=5",'Participant Responses'!$B$2:$B$1000,"&lt;=14")</f>
        <v>0</v>
      </c>
      <c r="G135" s="4">
        <f>COUNTIFS('Participant Responses'!V2:V1000,"?ery ?ittle",'Participant Responses'!$B$2:$B$1000,"&gt;=15",'Participant Responses'!$B$2:$B$1000,"&lt;=19")</f>
        <v>0</v>
      </c>
      <c r="H135" s="4">
        <f>COUNTIFS('Participant Responses'!V2:V1000,"?ery ?ittle",'Participant Responses'!$B$2:$B$1000,"&gt;=20",'Participant Responses'!$B$2:$B$1000,"&lt;=24")</f>
        <v>0</v>
      </c>
      <c r="I135" s="4">
        <f>COUNTIFS('Participant Responses'!V2:V1000,"?ery ?ittle",'Participant Responses'!$B$2:$B$1000,"&gt;=25",'Participant Responses'!$B$2:$B$1000,"&lt;=44")</f>
        <v>0</v>
      </c>
      <c r="J135" s="4">
        <f>COUNTIFS('Participant Responses'!V2:V1000,"?ery ?ittle",'Participant Responses'!$B$2:$B$1000,"&gt;=45",'Participant Responses'!$B$2:$B$1000,"&lt;=54")</f>
        <v>0</v>
      </c>
      <c r="K135" s="4">
        <f>COUNTIFS('Participant Responses'!V2:V1000,"?ery ?ittle",'Participant Responses'!$B$2:$B$1000,"&gt;=55",'Participant Responses'!$B$2:$B$1000,"&lt;=64")</f>
        <v>0</v>
      </c>
      <c r="L135" s="4">
        <f>COUNTIFS('Participant Responses'!V2:V1000,"?ery ?ittle",'Participant Responses'!$B$2:$B$1000,"&gt;=65",'Participant Responses'!$B$2:$B$1000,"&lt;=74")</f>
        <v>0</v>
      </c>
      <c r="M135" s="4">
        <f>COUNTIFS('Participant Responses'!V2:V1000,"?ery ?ittle",'Participant Responses'!$B$2:$B$1000,"&gt;=75",'Participant Responses'!$B$2:$B$1000,"&lt;=84")</f>
        <v>0</v>
      </c>
      <c r="N135" s="4">
        <f>COUNTIFS('Participant Responses'!V2:V1000,"?ery ?ittle",'Participant Responses'!$B$2:$B$1000,"&gt;85")</f>
        <v>0</v>
      </c>
    </row>
    <row r="136" spans="1:14">
      <c r="A136" s="3" t="s">
        <v>35</v>
      </c>
      <c r="B136" s="13">
        <f>COUNTIF('Participant Responses'!V2:V1000,"?ever")</f>
        <v>0</v>
      </c>
      <c r="C136" s="7">
        <f>COUNTIFS('Participant Responses'!V2:V1000,"?ever",'Participant Responses'!$C$2:$C$1000,"m")</f>
        <v>0</v>
      </c>
      <c r="D136" s="4">
        <f>COUNTIFS('Participant Responses'!V2:V1000,"?ever",'Participant Responses'!$C$2:$C$1000,"f")</f>
        <v>0</v>
      </c>
      <c r="E136" s="4">
        <f>COUNTIFS('Participant Responses'!V2:V1000,"?ever",'Participant Responses'!$B$2:$B$1000,"&lt;=4")</f>
        <v>0</v>
      </c>
      <c r="F136" s="4">
        <f>COUNTIFS('Participant Responses'!V2:V1000,"?ever",'Participant Responses'!$B$2:$B$1000,"&gt;=5",'Participant Responses'!$B$2:$B$1000,"&lt;=14")</f>
        <v>0</v>
      </c>
      <c r="G136" s="4">
        <f>COUNTIFS('Participant Responses'!V2:V1000,"?ever",'Participant Responses'!$B$2:$B$1000,"&gt;=15",'Participant Responses'!$B$2:$B$1000,"&lt;=19")</f>
        <v>0</v>
      </c>
      <c r="H136" s="4">
        <f>COUNTIFS('Participant Responses'!V2:V1000,"?ever",'Participant Responses'!$B$2:$B$1000,"&gt;=20",'Participant Responses'!$B$2:$B$1000,"&lt;=24")</f>
        <v>0</v>
      </c>
      <c r="I136" s="4">
        <f>COUNTIFS('Participant Responses'!V2:V1000,"?ever",'Participant Responses'!$B$2:$B$1000,"&gt;=25",'Participant Responses'!$B$2:$B$1000,"&lt;=44")</f>
        <v>0</v>
      </c>
      <c r="J136" s="4">
        <f>COUNTIFS('Participant Responses'!V2:V1000,"?ever",'Participant Responses'!$B$2:$B$1000,"&gt;=45",'Participant Responses'!$B$2:$B$1000,"&lt;=54")</f>
        <v>0</v>
      </c>
      <c r="K136" s="4">
        <f>COUNTIFS('Participant Responses'!V2:V1000,"?ever",'Participant Responses'!$B$2:$B$1000,"&gt;=55",'Participant Responses'!$B$2:$B$1000,"&lt;=64")</f>
        <v>0</v>
      </c>
      <c r="L136" s="4">
        <f>COUNTIFS('Participant Responses'!V2:V1000,"?ever",'Participant Responses'!$B$2:$B$1000,"&gt;=65",'Participant Responses'!$B$2:$B$1000,"&lt;=74")</f>
        <v>0</v>
      </c>
      <c r="M136" s="4">
        <f>COUNTIFS('Participant Responses'!V2:V1000,"?ever",'Participant Responses'!$B$2:$B$1000,"&gt;=75",'Participant Responses'!$B$2:$B$1000,"&lt;=84")</f>
        <v>0</v>
      </c>
      <c r="N136" s="4">
        <f>COUNTIFS('Participant Responses'!V2:V1000,"?ever",'Participant Responses'!$B$2:$B$1000,"&gt;85")</f>
        <v>0</v>
      </c>
    </row>
    <row r="137" spans="1:14">
      <c r="A137" s="3" t="s">
        <v>78</v>
      </c>
      <c r="B137" s="13">
        <f>COUNTIF('Participant Responses'!V2:V1000,"NA")</f>
        <v>0</v>
      </c>
      <c r="C137" s="7">
        <f>COUNTIFS('Participant Responses'!V2:V1000,"NA",'Participant Responses'!$C$2:$C$1000,"m")</f>
        <v>0</v>
      </c>
      <c r="D137" s="4">
        <f>COUNTIFS('Participant Responses'!V2:V1000,"NA",'Participant Responses'!$C$2:$C$1000,"f")</f>
        <v>0</v>
      </c>
      <c r="E137" s="4">
        <f>COUNTIFS('Participant Responses'!V2:V1000,"NA",'Participant Responses'!$B$2:$B$1000,"&lt;=4")</f>
        <v>0</v>
      </c>
      <c r="F137" s="4">
        <f>COUNTIFS('Participant Responses'!V2:V1000,"NA",'Participant Responses'!$B$2:$B$1000,"&gt;=5",'Participant Responses'!$B$2:$B$1000,"&lt;=14")</f>
        <v>0</v>
      </c>
      <c r="G137" s="4">
        <f>COUNTIFS('Participant Responses'!V2:V1000,"NA",'Participant Responses'!$B$2:$B$1000,"&gt;=15",'Participant Responses'!$B$2:$B$1000,"&lt;=19")</f>
        <v>0</v>
      </c>
      <c r="H137" s="4">
        <f>COUNTIFS('Participant Responses'!V2:V1000,"NA",'Participant Responses'!$B$2:$B$1000,"&gt;=20",'Participant Responses'!$B$2:$B$1000,"&lt;=24")</f>
        <v>0</v>
      </c>
      <c r="I137" s="4">
        <f>COUNTIFS('Participant Responses'!V2:V1000,"NA",'Participant Responses'!$B$2:$B$1000,"&gt;=25",'Participant Responses'!$B$2:$B$1000,"&lt;=44")</f>
        <v>0</v>
      </c>
      <c r="J137" s="4">
        <f>COUNTIFS('Participant Responses'!V2:V1000,"NA",'Participant Responses'!$B$2:$B$1000,"&gt;=45",'Participant Responses'!$B$2:$B$1000,"&lt;=54")</f>
        <v>0</v>
      </c>
      <c r="K137" s="4">
        <f>COUNTIFS('Participant Responses'!V2:V1000,"NA",'Participant Responses'!$B$2:$B$1000,"&gt;=55",'Participant Responses'!$B$2:$B$1000,"&lt;=64")</f>
        <v>0</v>
      </c>
      <c r="L137" s="4">
        <f>COUNTIFS('Participant Responses'!V2:V1000,"NA",'Participant Responses'!$B$2:$B$1000,"&gt;=65",'Participant Responses'!$B$2:$B$1000,"&lt;=74")</f>
        <v>0</v>
      </c>
      <c r="M137" s="4">
        <f>COUNTIFS('Participant Responses'!V2:V1000,"NA",'Participant Responses'!$B$2:$B$1000,"&gt;=75",'Participant Responses'!$B$2:$B$1000,"&lt;=84")</f>
        <v>0</v>
      </c>
      <c r="N137" s="4">
        <f>COUNTIFS('Participant Responses'!V2:V1000,"NA",'Participant Responses'!$B$2:$B$1000,"&gt;85")</f>
        <v>0</v>
      </c>
    </row>
    <row r="138" spans="1:14" ht="16" thickBot="1"/>
    <row r="139" spans="1:14">
      <c r="A139" s="41" t="s">
        <v>50</v>
      </c>
      <c r="B139" s="42"/>
      <c r="C139" s="42"/>
      <c r="D139" s="42"/>
      <c r="E139" s="42"/>
      <c r="F139" s="42"/>
      <c r="G139" s="42"/>
      <c r="H139" s="42"/>
      <c r="I139" s="42"/>
      <c r="J139" s="42"/>
      <c r="K139" s="42"/>
      <c r="L139" s="42"/>
      <c r="M139" s="42"/>
      <c r="N139" s="43"/>
    </row>
    <row r="140" spans="1:14" ht="47" customHeight="1" thickBot="1">
      <c r="A140" s="37" t="s">
        <v>68</v>
      </c>
      <c r="B140" s="38"/>
      <c r="C140" s="38"/>
      <c r="D140" s="38"/>
      <c r="E140" s="38"/>
      <c r="F140" s="38"/>
      <c r="G140" s="38"/>
      <c r="H140" s="38"/>
      <c r="I140" s="38"/>
      <c r="J140" s="38"/>
      <c r="K140" s="38"/>
      <c r="L140" s="38"/>
      <c r="M140" s="38"/>
      <c r="N140" s="39"/>
    </row>
    <row r="142" spans="1:14" ht="90">
      <c r="A142" s="6" t="s">
        <v>83</v>
      </c>
      <c r="B142" s="26" t="s">
        <v>64</v>
      </c>
      <c r="C142" s="40" t="s">
        <v>43</v>
      </c>
      <c r="D142" s="33"/>
      <c r="E142" s="33" t="s">
        <v>46</v>
      </c>
      <c r="F142" s="33"/>
      <c r="G142" s="33"/>
      <c r="H142" s="33"/>
      <c r="I142" s="33"/>
      <c r="J142" s="33"/>
      <c r="K142" s="33"/>
      <c r="L142" s="33"/>
      <c r="M142" s="33"/>
      <c r="N142" s="33"/>
    </row>
    <row r="143" spans="1:14">
      <c r="A143" s="3"/>
      <c r="B143" s="27"/>
      <c r="C143" s="17" t="s">
        <v>62</v>
      </c>
      <c r="D143" s="16" t="s">
        <v>63</v>
      </c>
      <c r="E143" s="3" t="s">
        <v>55</v>
      </c>
      <c r="F143" s="3" t="s">
        <v>66</v>
      </c>
      <c r="G143" s="3" t="s">
        <v>56</v>
      </c>
      <c r="H143" s="3" t="s">
        <v>57</v>
      </c>
      <c r="I143" s="3" t="s">
        <v>58</v>
      </c>
      <c r="J143" s="3" t="s">
        <v>59</v>
      </c>
      <c r="K143" s="3" t="s">
        <v>60</v>
      </c>
      <c r="L143" s="3" t="s">
        <v>67</v>
      </c>
      <c r="M143" s="3" t="s">
        <v>61</v>
      </c>
      <c r="N143" s="3" t="s">
        <v>65</v>
      </c>
    </row>
    <row r="144" spans="1:14">
      <c r="A144" s="3" t="s">
        <v>39</v>
      </c>
      <c r="B144" s="13">
        <f>COUNTIF('Participant Responses'!X2:X1000,"?lways")</f>
        <v>0</v>
      </c>
      <c r="C144" s="7">
        <f>COUNTIFS('Participant Responses'!X2:X1000,"?lways",'Participant Responses'!$C$2:$C$1000,"m")</f>
        <v>0</v>
      </c>
      <c r="D144" s="4">
        <f>COUNTIFS('Participant Responses'!X2:X1000,"?lways",'Participant Responses'!$C$2:$C$1000,"f")</f>
        <v>0</v>
      </c>
      <c r="E144" s="4">
        <f>COUNTIFS('Participant Responses'!X2:X1000,"?lways",'Participant Responses'!$B$2:$B$1000,"&lt;=4")</f>
        <v>0</v>
      </c>
      <c r="F144" s="4">
        <f>COUNTIFS('Participant Responses'!X2:X1000,"?lways",'Participant Responses'!$B$2:$B$1000,"&gt;=5",'Participant Responses'!$B$2:$B$1000,"&lt;=14")</f>
        <v>0</v>
      </c>
      <c r="G144" s="4">
        <f>COUNTIFS('Participant Responses'!X2:X1000,"?lways",'Participant Responses'!$B$2:$B$1000,"&gt;=15",'Participant Responses'!$B$2:$B$1000,"&lt;=19")</f>
        <v>0</v>
      </c>
      <c r="H144" s="4">
        <f>COUNTIFS('Participant Responses'!X2:X1000,"?lways",'Participant Responses'!$B$2:$B$1000,"&gt;=20",'Participant Responses'!$B$2:$B$1000,"&lt;=24")</f>
        <v>0</v>
      </c>
      <c r="I144" s="4">
        <f>COUNTIFS('Participant Responses'!X2:X1000,"?lways",'Participant Responses'!$B$2:$B$1000,"&gt;=25",'Participant Responses'!$B$2:$B$1000,"&lt;=44")</f>
        <v>0</v>
      </c>
      <c r="J144" s="4">
        <f>COUNTIFS('Participant Responses'!X2:X1000,"?lways",'Participant Responses'!$B$2:$B$1000,"&gt;=45",'Participant Responses'!$B$2:$B$1000,"&lt;=54")</f>
        <v>0</v>
      </c>
      <c r="K144" s="4">
        <f>COUNTIFS('Participant Responses'!X2:X1000,"?lways",'Participant Responses'!$B$2:$B$1000,"&gt;=55",'Participant Responses'!$B$2:$B$1000,"&lt;=64")</f>
        <v>0</v>
      </c>
      <c r="L144" s="4">
        <f>COUNTIFS('Participant Responses'!X2:X1000,"?lways",'Participant Responses'!$B$2:$B$1000,"&gt;=65",'Participant Responses'!$B$2:$B$1000,"&lt;=74")</f>
        <v>0</v>
      </c>
      <c r="M144" s="4">
        <f>COUNTIFS('Participant Responses'!X2:X1000,"?lways",'Participant Responses'!$B$2:$B$1000,"&gt;=75",'Participant Responses'!$B$2:$B$1000,"&lt;=84")</f>
        <v>0</v>
      </c>
      <c r="N144" s="4">
        <f>COUNTIFS('Participant Responses'!X2:X1000,"?lways",'Participant Responses'!$B$2:$B$1000,"&gt;85")</f>
        <v>0</v>
      </c>
    </row>
    <row r="145" spans="1:14">
      <c r="A145" s="3" t="s">
        <v>34</v>
      </c>
      <c r="B145" s="13">
        <f>COUNTIF('Participant Responses'!X2:X1000,"?ometimes")</f>
        <v>0</v>
      </c>
      <c r="C145" s="7">
        <f>COUNTIFS('Participant Responses'!X2:X1000,"?ometimes",'Participant Responses'!$C$2:$C$1000,"m")</f>
        <v>0</v>
      </c>
      <c r="D145" s="4">
        <f>COUNTIFS('Participant Responses'!X2:X1000,"?ometimes",'Participant Responses'!$C$2:$C$1000,"f")</f>
        <v>0</v>
      </c>
      <c r="E145" s="4">
        <f>COUNTIFS('Participant Responses'!X2:X1000,"?ometimes",'Participant Responses'!$B$2:$B$1000,"&lt;=4")</f>
        <v>0</v>
      </c>
      <c r="F145" s="4">
        <f>COUNTIFS('Participant Responses'!X2:X1000,"?ometimes",'Participant Responses'!$B$2:$B$1000,"&gt;=5",'Participant Responses'!$B$2:$B$1000,"&lt;=14")</f>
        <v>0</v>
      </c>
      <c r="G145" s="4">
        <f>COUNTIFS('Participant Responses'!X2:X1000,"?ometimes",'Participant Responses'!$B$2:$B$1000,"&gt;=15",'Participant Responses'!$B$2:$B$1000,"&lt;=19")</f>
        <v>0</v>
      </c>
      <c r="H145" s="4">
        <f>COUNTIFS('Participant Responses'!X2:X1000,"?ometimes",'Participant Responses'!$B$2:$B$1000,"&gt;=20",'Participant Responses'!$B$2:$B$1000,"&lt;=24")</f>
        <v>0</v>
      </c>
      <c r="I145" s="4">
        <f>COUNTIFS('Participant Responses'!X2:X1000,"?ometimes",'Participant Responses'!$B$2:$B$1000,"&gt;=25",'Participant Responses'!$B$2:$B$1000,"&lt;=44")</f>
        <v>0</v>
      </c>
      <c r="J145" s="4">
        <f>COUNTIFS('Participant Responses'!X2:X1000,"?ometimes",'Participant Responses'!$B$2:$B$1000,"&gt;=45",'Participant Responses'!$B$2:$B$1000,"&lt;=54")</f>
        <v>0</v>
      </c>
      <c r="K145" s="4">
        <f>COUNTIFS('Participant Responses'!X2:X1000,"?ometimes",'Participant Responses'!$B$2:$B$1000,"&gt;=55",'Participant Responses'!$B$2:$B$1000,"&lt;=64")</f>
        <v>0</v>
      </c>
      <c r="L145" s="4">
        <f>COUNTIFS('Participant Responses'!X2:X1000,"?ometimes",'Participant Responses'!$B$2:$B$1000,"&gt;=65",'Participant Responses'!$B$2:$B$1000,"&lt;=74")</f>
        <v>0</v>
      </c>
      <c r="M145" s="4">
        <f>COUNTIFS('Participant Responses'!X2:X1000,"?ometimes",'Participant Responses'!$B$2:$B$1000,"&gt;=75",'Participant Responses'!$B$2:$B$1000,"&lt;=84")</f>
        <v>0</v>
      </c>
      <c r="N145" s="4">
        <f>COUNTIFS('Participant Responses'!X2:X1000,"?ometimes",'Participant Responses'!$B$2:$B$1000,"&gt;85")</f>
        <v>0</v>
      </c>
    </row>
    <row r="146" spans="1:14">
      <c r="A146" s="3" t="s">
        <v>77</v>
      </c>
      <c r="B146" s="13">
        <f>COUNTIF('Participant Responses'!X2:X1000,"?ery ?ittle")</f>
        <v>0</v>
      </c>
      <c r="C146" s="7">
        <f>COUNTIFS('Participant Responses'!X2:X1000,"?ery ?ittle",'Participant Responses'!$C$2:$C$1000,"m")</f>
        <v>0</v>
      </c>
      <c r="D146" s="4">
        <f>COUNTIFS('Participant Responses'!X2:X1000,"?ery ?ittle",'Participant Responses'!$C$2:$C$1000,"f")</f>
        <v>0</v>
      </c>
      <c r="E146" s="4">
        <f>COUNTIFS('Participant Responses'!X2:X1000,"?ery ?ittle",'Participant Responses'!$B$2:$B$1000,"&lt;=4")</f>
        <v>0</v>
      </c>
      <c r="F146" s="4">
        <f>COUNTIFS('Participant Responses'!X2:X1000,"?ery ?ittle",'Participant Responses'!$B$2:$B$1000,"&gt;=5",'Participant Responses'!$B$2:$B$1000,"&lt;=14")</f>
        <v>0</v>
      </c>
      <c r="G146" s="4">
        <f>COUNTIFS('Participant Responses'!X2:X1000,"?ery ?ittle",'Participant Responses'!$B$2:$B$1000,"&gt;=15",'Participant Responses'!$B$2:$B$1000,"&lt;=19")</f>
        <v>0</v>
      </c>
      <c r="H146" s="4">
        <f>COUNTIFS('Participant Responses'!X2:X1000,"?ery ?ittle",'Participant Responses'!$B$2:$B$1000,"&gt;=20",'Participant Responses'!$B$2:$B$1000,"&lt;=24")</f>
        <v>0</v>
      </c>
      <c r="I146" s="4">
        <f>COUNTIFS('Participant Responses'!X2:X1000,"?ery ?ittle",'Participant Responses'!$B$2:$B$1000,"&gt;=25",'Participant Responses'!$B$2:$B$1000,"&lt;=44")</f>
        <v>0</v>
      </c>
      <c r="J146" s="4">
        <f>COUNTIFS('Participant Responses'!X2:X1000,"?ery ?ittle",'Participant Responses'!$B$2:$B$1000,"&gt;=45",'Participant Responses'!$B$2:$B$1000,"&lt;=54")</f>
        <v>0</v>
      </c>
      <c r="K146" s="4">
        <f>COUNTIFS('Participant Responses'!X2:X1000,"?ery ?ittle",'Participant Responses'!$B$2:$B$1000,"&gt;=55",'Participant Responses'!$B$2:$B$1000,"&lt;=64")</f>
        <v>0</v>
      </c>
      <c r="L146" s="4">
        <f>COUNTIFS('Participant Responses'!X2:X1000,"?ery ?ittle",'Participant Responses'!$B$2:$B$1000,"&gt;=65",'Participant Responses'!$B$2:$B$1000,"&lt;=74")</f>
        <v>0</v>
      </c>
      <c r="M146" s="4">
        <f>COUNTIFS('Participant Responses'!X2:X1000,"?ery ?ittle",'Participant Responses'!$B$2:$B$1000,"&gt;=75",'Participant Responses'!$B$2:$B$1000,"&lt;=84")</f>
        <v>0</v>
      </c>
      <c r="N146" s="4">
        <f>COUNTIFS('Participant Responses'!X2:X1000,"?ery ?ittle",'Participant Responses'!$B$2:$B$1000,"&gt;85")</f>
        <v>0</v>
      </c>
    </row>
    <row r="147" spans="1:14">
      <c r="A147" s="3" t="s">
        <v>35</v>
      </c>
      <c r="B147" s="13">
        <f>COUNTIF('Participant Responses'!X2:X1000,"?ever")</f>
        <v>0</v>
      </c>
      <c r="C147" s="7">
        <f>COUNTIFS('Participant Responses'!X2:X1000,"?ever",'Participant Responses'!$C$2:$C$1000,"m")</f>
        <v>0</v>
      </c>
      <c r="D147" s="4">
        <f>COUNTIFS('Participant Responses'!X2:X1000,"?ever",'Participant Responses'!$C$2:$C$1000,"f")</f>
        <v>0</v>
      </c>
      <c r="E147" s="4">
        <f>COUNTIFS('Participant Responses'!X2:X1000,"?ever",'Participant Responses'!$B$2:$B$1000,"&lt;=4")</f>
        <v>0</v>
      </c>
      <c r="F147" s="4">
        <f>COUNTIFS('Participant Responses'!X2:X1000,"?ever",'Participant Responses'!$B$2:$B$1000,"&gt;=5",'Participant Responses'!$B$2:$B$1000,"&lt;=14")</f>
        <v>0</v>
      </c>
      <c r="G147" s="4">
        <f>COUNTIFS('Participant Responses'!X2:X1000,"?ever",'Participant Responses'!$B$2:$B$1000,"&gt;=15",'Participant Responses'!$B$2:$B$1000,"&lt;=19")</f>
        <v>0</v>
      </c>
      <c r="H147" s="4">
        <f>COUNTIFS('Participant Responses'!X2:X1000,"?ever",'Participant Responses'!$B$2:$B$1000,"&gt;=20",'Participant Responses'!$B$2:$B$1000,"&lt;=24")</f>
        <v>0</v>
      </c>
      <c r="I147" s="4">
        <f>COUNTIFS('Participant Responses'!X2:X1000,"?ever",'Participant Responses'!$B$2:$B$1000,"&gt;=25",'Participant Responses'!$B$2:$B$1000,"&lt;=44")</f>
        <v>0</v>
      </c>
      <c r="J147" s="4">
        <f>COUNTIFS('Participant Responses'!X2:X1000,"?ever",'Participant Responses'!$B$2:$B$1000,"&gt;=45",'Participant Responses'!$B$2:$B$1000,"&lt;=54")</f>
        <v>0</v>
      </c>
      <c r="K147" s="4">
        <f>COUNTIFS('Participant Responses'!X2:X1000,"?ever",'Participant Responses'!$B$2:$B$1000,"&gt;=55",'Participant Responses'!$B$2:$B$1000,"&lt;=64")</f>
        <v>0</v>
      </c>
      <c r="L147" s="4">
        <f>COUNTIFS('Participant Responses'!X2:X1000,"?ever",'Participant Responses'!$B$2:$B$1000,"&gt;=65",'Participant Responses'!$B$2:$B$1000,"&lt;=74")</f>
        <v>0</v>
      </c>
      <c r="M147" s="4">
        <f>COUNTIFS('Participant Responses'!X2:X1000,"?ever",'Participant Responses'!$B$2:$B$1000,"&gt;=75",'Participant Responses'!$B$2:$B$1000,"&lt;=84")</f>
        <v>0</v>
      </c>
      <c r="N147" s="4">
        <f>COUNTIFS('Participant Responses'!X2:X1000,"?ever",'Participant Responses'!$B$2:$B$1000,"&gt;85")</f>
        <v>0</v>
      </c>
    </row>
    <row r="148" spans="1:14">
      <c r="A148" s="3" t="s">
        <v>78</v>
      </c>
      <c r="B148" s="13">
        <f>COUNTIF('Participant Responses'!X2:X1000,"NA")</f>
        <v>0</v>
      </c>
      <c r="C148" s="7">
        <f>COUNTIFS('Participant Responses'!X2:X1000,"NA",'Participant Responses'!$C$2:$C$1000,"m")</f>
        <v>0</v>
      </c>
      <c r="D148" s="4">
        <f>COUNTIFS('Participant Responses'!X2:X1000,"NA",'Participant Responses'!$C$2:$C$1000,"f")</f>
        <v>0</v>
      </c>
      <c r="E148" s="4">
        <f>COUNTIFS('Participant Responses'!X2:X1000,"NA",'Participant Responses'!$B$2:$B$1000,"&lt;=4")</f>
        <v>0</v>
      </c>
      <c r="F148" s="4">
        <f>COUNTIFS('Participant Responses'!X2:X1000,"NA",'Participant Responses'!$B$2:$B$1000,"&gt;=5",'Participant Responses'!$B$2:$B$1000,"&lt;=14")</f>
        <v>0</v>
      </c>
      <c r="G148" s="4">
        <f>COUNTIFS('Participant Responses'!X2:X1000,"NA",'Participant Responses'!$B$2:$B$1000,"&gt;=15",'Participant Responses'!$B$2:$B$1000,"&lt;=19")</f>
        <v>0</v>
      </c>
      <c r="H148" s="4">
        <f>COUNTIFS('Participant Responses'!X2:X1000,"NA",'Participant Responses'!$B$2:$B$1000,"&gt;=20",'Participant Responses'!$B$2:$B$1000,"&lt;=24")</f>
        <v>0</v>
      </c>
      <c r="I148" s="4">
        <f>COUNTIFS('Participant Responses'!X2:X1000,"NA",'Participant Responses'!$B$2:$B$1000,"&gt;=25",'Participant Responses'!$B$2:$B$1000,"&lt;=44")</f>
        <v>0</v>
      </c>
      <c r="J148" s="4">
        <f>COUNTIFS('Participant Responses'!X2:X1000,"NA",'Participant Responses'!$B$2:$B$1000,"&gt;=45",'Participant Responses'!$B$2:$B$1000,"&lt;=54")</f>
        <v>0</v>
      </c>
      <c r="K148" s="4">
        <f>COUNTIFS('Participant Responses'!X2:X1000,"NA",'Participant Responses'!$B$2:$B$1000,"&gt;=55",'Participant Responses'!$B$2:$B$1000,"&lt;=64")</f>
        <v>0</v>
      </c>
      <c r="L148" s="4">
        <f>COUNTIFS('Participant Responses'!X2:X1000,"NA",'Participant Responses'!$B$2:$B$1000,"&gt;=65",'Participant Responses'!$B$2:$B$1000,"&lt;=74")</f>
        <v>0</v>
      </c>
      <c r="M148" s="4">
        <f>COUNTIFS('Participant Responses'!X2:X1000,"NA",'Participant Responses'!$B$2:$B$1000,"&gt;=75",'Participant Responses'!$B$2:$B$1000,"&lt;=84")</f>
        <v>0</v>
      </c>
      <c r="N148" s="4">
        <f>COUNTIFS('Participant Responses'!X2:X1000,"NA",'Participant Responses'!$B$2:$B$1000,"&gt;85")</f>
        <v>0</v>
      </c>
    </row>
    <row r="149" spans="1:14" ht="16" thickBot="1"/>
    <row r="150" spans="1:14">
      <c r="A150" s="41" t="s">
        <v>52</v>
      </c>
      <c r="B150" s="42"/>
      <c r="C150" s="42"/>
      <c r="D150" s="42"/>
      <c r="E150" s="42"/>
      <c r="F150" s="42"/>
      <c r="G150" s="42"/>
      <c r="H150" s="42"/>
      <c r="I150" s="42"/>
      <c r="J150" s="42"/>
      <c r="K150" s="42"/>
      <c r="L150" s="42"/>
      <c r="M150" s="42"/>
      <c r="N150" s="43"/>
    </row>
    <row r="151" spans="1:14" ht="47" customHeight="1" thickBot="1">
      <c r="A151" s="37" t="s">
        <v>68</v>
      </c>
      <c r="B151" s="38"/>
      <c r="C151" s="38"/>
      <c r="D151" s="38"/>
      <c r="E151" s="38"/>
      <c r="F151" s="38"/>
      <c r="G151" s="38"/>
      <c r="H151" s="38"/>
      <c r="I151" s="38"/>
      <c r="J151" s="38"/>
      <c r="K151" s="38"/>
      <c r="L151" s="38"/>
      <c r="M151" s="38"/>
      <c r="N151" s="39"/>
    </row>
    <row r="152" spans="1:14" ht="38" customHeight="1"/>
    <row r="153" spans="1:14" ht="120">
      <c r="A153" s="6" t="s">
        <v>53</v>
      </c>
      <c r="B153" s="26" t="s">
        <v>64</v>
      </c>
      <c r="C153" s="40" t="s">
        <v>43</v>
      </c>
      <c r="D153" s="33"/>
      <c r="E153" s="33" t="s">
        <v>46</v>
      </c>
      <c r="F153" s="33"/>
      <c r="G153" s="33"/>
      <c r="H153" s="33"/>
      <c r="I153" s="33"/>
      <c r="J153" s="33"/>
      <c r="K153" s="33"/>
      <c r="L153" s="33"/>
      <c r="M153" s="33"/>
      <c r="N153" s="33"/>
    </row>
    <row r="154" spans="1:14">
      <c r="A154" s="3"/>
      <c r="B154" s="27"/>
      <c r="C154" s="17" t="s">
        <v>62</v>
      </c>
      <c r="D154" s="16" t="s">
        <v>63</v>
      </c>
      <c r="E154" s="3" t="s">
        <v>55</v>
      </c>
      <c r="F154" s="3" t="s">
        <v>66</v>
      </c>
      <c r="G154" s="3" t="s">
        <v>56</v>
      </c>
      <c r="H154" s="3" t="s">
        <v>57</v>
      </c>
      <c r="I154" s="3" t="s">
        <v>58</v>
      </c>
      <c r="J154" s="3" t="s">
        <v>59</v>
      </c>
      <c r="K154" s="3" t="s">
        <v>60</v>
      </c>
      <c r="L154" s="3" t="s">
        <v>67</v>
      </c>
      <c r="M154" s="3" t="s">
        <v>61</v>
      </c>
      <c r="N154" s="3" t="s">
        <v>65</v>
      </c>
    </row>
    <row r="155" spans="1:14">
      <c r="A155" s="3" t="s">
        <v>39</v>
      </c>
      <c r="B155" s="13">
        <f>COUNTIF('Participant Responses'!Z2:Z1000,"?lways")</f>
        <v>0</v>
      </c>
      <c r="C155" s="7">
        <f>COUNTIFS('Participant Responses'!Z2:Z1000,"?lways",'Participant Responses'!$C$2:$C$1000,"m")</f>
        <v>0</v>
      </c>
      <c r="D155" s="4">
        <f>COUNTIFS('Participant Responses'!Z2:Z1000,"?lways",'Participant Responses'!$C$2:$C$1000,"f")</f>
        <v>0</v>
      </c>
      <c r="E155" s="4">
        <f>COUNTIFS('Participant Responses'!Z2:Z1000,"?lways",'Participant Responses'!$B$2:$B$1000,"&lt;=4")</f>
        <v>0</v>
      </c>
      <c r="F155" s="4">
        <f>COUNTIFS('Participant Responses'!Z2:Z1000,"?lways",'Participant Responses'!$B$2:$B$1000,"&gt;=5",'Participant Responses'!$B$2:$B$1000,"&lt;=14")</f>
        <v>0</v>
      </c>
      <c r="G155" s="4">
        <f>COUNTIFS('Participant Responses'!Z2:Z1000,"?lways",'Participant Responses'!$B$2:$B$1000,"&gt;=15",'Participant Responses'!$B$2:$B$1000,"&lt;=19")</f>
        <v>0</v>
      </c>
      <c r="H155" s="4">
        <f>COUNTIFS('Participant Responses'!Z2:Z1000,"?lways",'Participant Responses'!$B$2:$B$1000,"&gt;=20",'Participant Responses'!$B$2:$B$1000,"&lt;=24")</f>
        <v>0</v>
      </c>
      <c r="I155" s="4">
        <f>COUNTIFS('Participant Responses'!Z2:Z1000,"?lways",'Participant Responses'!$B$2:$B$1000,"&gt;=25",'Participant Responses'!$B$2:$B$1000,"&lt;=44")</f>
        <v>0</v>
      </c>
      <c r="J155" s="4">
        <f>COUNTIFS('Participant Responses'!Z2:Z1000,"?lways",'Participant Responses'!$B$2:$B$1000,"&gt;=45",'Participant Responses'!$B$2:$B$1000,"&lt;=54")</f>
        <v>0</v>
      </c>
      <c r="K155" s="4">
        <f>COUNTIFS('Participant Responses'!Z2:Z1000,"?lways",'Participant Responses'!$B$2:$B$1000,"&gt;=55",'Participant Responses'!$B$2:$B$1000,"&lt;=64")</f>
        <v>0</v>
      </c>
      <c r="L155" s="4">
        <f>COUNTIFS('Participant Responses'!Z2:Z1000,"?lways",'Participant Responses'!$B$2:$B$1000,"&gt;=65",'Participant Responses'!$B$2:$B$1000,"&lt;=74")</f>
        <v>0</v>
      </c>
      <c r="M155" s="4">
        <f>COUNTIFS('Participant Responses'!Z2:Z1000,"?lways",'Participant Responses'!$B$2:$B$1000,"&gt;=75",'Participant Responses'!$B$2:$B$1000,"&lt;=84")</f>
        <v>0</v>
      </c>
      <c r="N155" s="4">
        <f>COUNTIFS('Participant Responses'!Z2:Z1000,"?lways",'Participant Responses'!$B$2:$B$1000,"&gt;85")</f>
        <v>0</v>
      </c>
    </row>
    <row r="156" spans="1:14">
      <c r="A156" s="3" t="s">
        <v>34</v>
      </c>
      <c r="B156" s="13">
        <f>COUNTIF('Participant Responses'!Z2:Z1000,"?ometimes")</f>
        <v>0</v>
      </c>
      <c r="C156" s="7">
        <f>COUNTIFS('Participant Responses'!Z2:Z1000,"?ometimes",'Participant Responses'!$C$2:$C$1000,"m")</f>
        <v>0</v>
      </c>
      <c r="D156" s="4">
        <f>COUNTIFS('Participant Responses'!Z2:Z1000,"?ometimes",'Participant Responses'!$C$2:$C$1000,"f")</f>
        <v>0</v>
      </c>
      <c r="E156" s="4">
        <f>COUNTIFS('Participant Responses'!Z2:Z1000,"?ometimes",'Participant Responses'!$B$2:$B$1000,"&lt;=4")</f>
        <v>0</v>
      </c>
      <c r="F156" s="4">
        <f>COUNTIFS('Participant Responses'!Z2:Z1000,"?ometimes",'Participant Responses'!$B$2:$B$1000,"&gt;=5",'Participant Responses'!$B$2:$B$1000,"&lt;=14")</f>
        <v>0</v>
      </c>
      <c r="G156" s="4">
        <f>COUNTIFS('Participant Responses'!Z2:Z1000,"?ometimes",'Participant Responses'!$B$2:$B$1000,"&gt;=15",'Participant Responses'!$B$2:$B$1000,"&lt;=19")</f>
        <v>0</v>
      </c>
      <c r="H156" s="4">
        <f>COUNTIFS('Participant Responses'!Z2:Z1000,"?ometimes",'Participant Responses'!$B$2:$B$1000,"&gt;=20",'Participant Responses'!$B$2:$B$1000,"&lt;=24")</f>
        <v>0</v>
      </c>
      <c r="I156" s="4">
        <f>COUNTIFS('Participant Responses'!Z2:Z1000,"?ometimes",'Participant Responses'!$B$2:$B$1000,"&gt;=25",'Participant Responses'!$B$2:$B$1000,"&lt;=44")</f>
        <v>0</v>
      </c>
      <c r="J156" s="4">
        <f>COUNTIFS('Participant Responses'!Z2:Z1000,"?ometimes",'Participant Responses'!$B$2:$B$1000,"&gt;=45",'Participant Responses'!$B$2:$B$1000,"&lt;=54")</f>
        <v>0</v>
      </c>
      <c r="K156" s="4">
        <f>COUNTIFS('Participant Responses'!Z2:Z1000,"?ometimes",'Participant Responses'!$B$2:$B$1000,"&gt;=55",'Participant Responses'!$B$2:$B$1000,"&lt;=64")</f>
        <v>0</v>
      </c>
      <c r="L156" s="4">
        <f>COUNTIFS('Participant Responses'!Z2:Z1000,"?ometimes",'Participant Responses'!$B$2:$B$1000,"&gt;=65",'Participant Responses'!$B$2:$B$1000,"&lt;=74")</f>
        <v>0</v>
      </c>
      <c r="M156" s="4">
        <f>COUNTIFS('Participant Responses'!Z2:Z1000,"?ometimes",'Participant Responses'!$B$2:$B$1000,"&gt;=75",'Participant Responses'!$B$2:$B$1000,"&lt;=84")</f>
        <v>0</v>
      </c>
      <c r="N156" s="4">
        <f>COUNTIFS('Participant Responses'!Z2:Z1000,"?ometimes",'Participant Responses'!$B$2:$B$1000,"&gt;85")</f>
        <v>0</v>
      </c>
    </row>
    <row r="157" spans="1:14">
      <c r="A157" s="3" t="s">
        <v>77</v>
      </c>
      <c r="B157" s="13">
        <f>COUNTIF('Participant Responses'!Z2:Z1000,"?ery ?ittle")</f>
        <v>0</v>
      </c>
      <c r="C157" s="7">
        <f>COUNTIFS('Participant Responses'!Z2:Z1000,"?ery ?ittle",'Participant Responses'!$C$2:$C$1000,"m")</f>
        <v>0</v>
      </c>
      <c r="D157" s="4">
        <f>COUNTIFS('Participant Responses'!Z2:Z1000,"?ery ?ittle",'Participant Responses'!$C$2:$C$1000,"f")</f>
        <v>0</v>
      </c>
      <c r="E157" s="4">
        <f>COUNTIFS('Participant Responses'!Z2:Z1000,"?ery ?ittle",'Participant Responses'!$B$2:$B$1000,"&lt;=4")</f>
        <v>0</v>
      </c>
      <c r="F157" s="4">
        <f>COUNTIFS('Participant Responses'!Z2:Z1000,"?ery ?ittle",'Participant Responses'!$B$2:$B$1000,"&gt;=5",'Participant Responses'!$B$2:$B$1000,"&lt;=14")</f>
        <v>0</v>
      </c>
      <c r="G157" s="4">
        <f>COUNTIFS('Participant Responses'!Z2:Z1000,"?ery ?ittle",'Participant Responses'!$B$2:$B$1000,"&gt;=15",'Participant Responses'!$B$2:$B$1000,"&lt;=19")</f>
        <v>0</v>
      </c>
      <c r="H157" s="4">
        <f>COUNTIFS('Participant Responses'!Z2:Z1000,"?ery ?ittle",'Participant Responses'!$B$2:$B$1000,"&gt;=20",'Participant Responses'!$B$2:$B$1000,"&lt;=24")</f>
        <v>0</v>
      </c>
      <c r="I157" s="4">
        <f>COUNTIFS('Participant Responses'!Z2:Z1000,"?ery ?ittle",'Participant Responses'!$B$2:$B$1000,"&gt;=25",'Participant Responses'!$B$2:$B$1000,"&lt;=44")</f>
        <v>0</v>
      </c>
      <c r="J157" s="4">
        <f>COUNTIFS('Participant Responses'!Z2:Z1000,"?ery ?ittle",'Participant Responses'!$B$2:$B$1000,"&gt;=45",'Participant Responses'!$B$2:$B$1000,"&lt;=54")</f>
        <v>0</v>
      </c>
      <c r="K157" s="4">
        <f>COUNTIFS('Participant Responses'!Z2:Z1000,"?ery ?ittle",'Participant Responses'!$B$2:$B$1000,"&gt;=55",'Participant Responses'!$B$2:$B$1000,"&lt;=64")</f>
        <v>0</v>
      </c>
      <c r="L157" s="4">
        <f>COUNTIFS('Participant Responses'!Z2:Z1000,"?ery ?ittle",'Participant Responses'!$B$2:$B$1000,"&gt;=65",'Participant Responses'!$B$2:$B$1000,"&lt;=74")</f>
        <v>0</v>
      </c>
      <c r="M157" s="4">
        <f>COUNTIFS('Participant Responses'!Z2:Z1000,"?ery ?ittle",'Participant Responses'!$B$2:$B$1000,"&gt;=75",'Participant Responses'!$B$2:$B$1000,"&lt;=84")</f>
        <v>0</v>
      </c>
      <c r="N157" s="4">
        <f>COUNTIFS('Participant Responses'!Z2:Z1000,"?ery ?ittle",'Participant Responses'!$B$2:$B$1000,"&gt;85")</f>
        <v>0</v>
      </c>
    </row>
    <row r="158" spans="1:14">
      <c r="A158" s="3" t="s">
        <v>35</v>
      </c>
      <c r="B158" s="13">
        <f>COUNTIF('Participant Responses'!Z2:Z1000,"?ever")</f>
        <v>0</v>
      </c>
      <c r="C158" s="7">
        <f>COUNTIFS('Participant Responses'!Z2:Z1000,"?ever",'Participant Responses'!$C$2:$C$1000,"m")</f>
        <v>0</v>
      </c>
      <c r="D158" s="4">
        <f>COUNTIFS('Participant Responses'!Z2:Z1000,"?ever",'Participant Responses'!$C$2:$C$1000,"f")</f>
        <v>0</v>
      </c>
      <c r="E158" s="4">
        <f>COUNTIFS('Participant Responses'!Z2:Z1000,"?ever",'Participant Responses'!$B$2:$B$1000,"&lt;=4")</f>
        <v>0</v>
      </c>
      <c r="F158" s="4">
        <f>COUNTIFS('Participant Responses'!Z2:Z1000,"?ever",'Participant Responses'!$B$2:$B$1000,"&gt;=5",'Participant Responses'!$B$2:$B$1000,"&lt;=14")</f>
        <v>0</v>
      </c>
      <c r="G158" s="4">
        <f>COUNTIFS('Participant Responses'!Z2:Z1000,"?ever",'Participant Responses'!$B$2:$B$1000,"&gt;=15",'Participant Responses'!$B$2:$B$1000,"&lt;=19")</f>
        <v>0</v>
      </c>
      <c r="H158" s="4">
        <f>COUNTIFS('Participant Responses'!Z2:Z1000,"?ever",'Participant Responses'!$B$2:$B$1000,"&gt;=20",'Participant Responses'!$B$2:$B$1000,"&lt;=24")</f>
        <v>0</v>
      </c>
      <c r="I158" s="4">
        <f>COUNTIFS('Participant Responses'!Z2:Z1000,"?ever",'Participant Responses'!$B$2:$B$1000,"&gt;=25",'Participant Responses'!$B$2:$B$1000,"&lt;=44")</f>
        <v>0</v>
      </c>
      <c r="J158" s="4">
        <f>COUNTIFS('Participant Responses'!Z2:Z1000,"?ever",'Participant Responses'!$B$2:$B$1000,"&gt;=45",'Participant Responses'!$B$2:$B$1000,"&lt;=54")</f>
        <v>0</v>
      </c>
      <c r="K158" s="4">
        <f>COUNTIFS('Participant Responses'!Z2:Z1000,"?ever",'Participant Responses'!$B$2:$B$1000,"&gt;=55",'Participant Responses'!$B$2:$B$1000,"&lt;=64")</f>
        <v>0</v>
      </c>
      <c r="L158" s="4">
        <f>COUNTIFS('Participant Responses'!Z2:Z1000,"?ever",'Participant Responses'!$B$2:$B$1000,"&gt;=65",'Participant Responses'!$B$2:$B$1000,"&lt;=74")</f>
        <v>0</v>
      </c>
      <c r="M158" s="4">
        <f>COUNTIFS('Participant Responses'!Z2:Z1000,"?ever",'Participant Responses'!$B$2:$B$1000,"&gt;=75",'Participant Responses'!$B$2:$B$1000,"&lt;=84")</f>
        <v>0</v>
      </c>
      <c r="N158" s="4">
        <f>COUNTIFS('Participant Responses'!Z2:Z1000,"?ever",'Participant Responses'!$B$2:$B$1000,"&gt;85")</f>
        <v>0</v>
      </c>
    </row>
    <row r="159" spans="1:14">
      <c r="A159" s="3" t="s">
        <v>78</v>
      </c>
      <c r="B159" s="13">
        <f>COUNTIF('Participant Responses'!Z2:Z1000,"NA")</f>
        <v>0</v>
      </c>
      <c r="C159" s="7">
        <f>COUNTIFS('Participant Responses'!Z2:Z1000,"NA",'Participant Responses'!$C$2:$C$1000,"m")</f>
        <v>0</v>
      </c>
      <c r="D159" s="4">
        <f>COUNTIFS('Participant Responses'!Z2:Z1000,"NA",'Participant Responses'!$C$2:$C$1000,"f")</f>
        <v>0</v>
      </c>
      <c r="E159" s="4">
        <f>COUNTIFS('Participant Responses'!Z2:Z1000,"NA",'Participant Responses'!$B$2:$B$1000,"&lt;=4")</f>
        <v>0</v>
      </c>
      <c r="F159" s="4">
        <f>COUNTIFS('Participant Responses'!Z2:Z1000,"NA",'Participant Responses'!$B$2:$B$1000,"&gt;=5",'Participant Responses'!$B$2:$B$1000,"&lt;=14")</f>
        <v>0</v>
      </c>
      <c r="G159" s="4">
        <f>COUNTIFS('Participant Responses'!Z2:Z1000,"NA",'Participant Responses'!$B$2:$B$1000,"&gt;=15",'Participant Responses'!$B$2:$B$1000,"&lt;=19")</f>
        <v>0</v>
      </c>
      <c r="H159" s="4">
        <f>COUNTIFS('Participant Responses'!Z2:Z1000,"NA",'Participant Responses'!$B$2:$B$1000,"&gt;=20",'Participant Responses'!$B$2:$B$1000,"&lt;=24")</f>
        <v>0</v>
      </c>
      <c r="I159" s="4">
        <f>COUNTIFS('Participant Responses'!Z2:Z1000,"NA",'Participant Responses'!$B$2:$B$1000,"&gt;=25",'Participant Responses'!$B$2:$B$1000,"&lt;=44")</f>
        <v>0</v>
      </c>
      <c r="J159" s="4">
        <f>COUNTIFS('Participant Responses'!Z2:Z1000,"NA",'Participant Responses'!$B$2:$B$1000,"&gt;=45",'Participant Responses'!$B$2:$B$1000,"&lt;=54")</f>
        <v>0</v>
      </c>
      <c r="K159" s="4">
        <f>COUNTIFS('Participant Responses'!Z2:Z1000,"NA",'Participant Responses'!$B$2:$B$1000,"&gt;=55",'Participant Responses'!$B$2:$B$1000,"&lt;=64")</f>
        <v>0</v>
      </c>
      <c r="L159" s="4">
        <f>COUNTIFS('Participant Responses'!Z2:Z1000,"NA",'Participant Responses'!$B$2:$B$1000,"&gt;=65",'Participant Responses'!$B$2:$B$1000,"&lt;=74")</f>
        <v>0</v>
      </c>
      <c r="M159" s="4">
        <f>COUNTIFS('Participant Responses'!Z2:Z1000,"NA",'Participant Responses'!$B$2:$B$1000,"&gt;=75",'Participant Responses'!$B$2:$B$1000,"&lt;=84")</f>
        <v>0</v>
      </c>
      <c r="N159" s="4">
        <f>COUNTIFS('Participant Responses'!Z2:Z1000,"NA",'Participant Responses'!$B$2:$B$1000,"&gt;85")</f>
        <v>0</v>
      </c>
    </row>
    <row r="160" spans="1:14" ht="16" thickBot="1"/>
    <row r="161" spans="1:14">
      <c r="A161" s="41" t="s">
        <v>84</v>
      </c>
      <c r="B161" s="42"/>
      <c r="C161" s="42"/>
      <c r="D161" s="42"/>
      <c r="E161" s="42"/>
      <c r="F161" s="42"/>
      <c r="G161" s="42"/>
      <c r="H161" s="42"/>
      <c r="I161" s="42"/>
      <c r="J161" s="42"/>
      <c r="K161" s="42"/>
      <c r="L161" s="42"/>
      <c r="M161" s="42"/>
      <c r="N161" s="43"/>
    </row>
    <row r="162" spans="1:14" ht="15" customHeight="1" thickBot="1">
      <c r="A162" s="37" t="s">
        <v>106</v>
      </c>
      <c r="B162" s="38"/>
      <c r="C162" s="38"/>
      <c r="D162" s="38"/>
      <c r="E162" s="38"/>
      <c r="F162" s="38"/>
      <c r="G162" s="38"/>
      <c r="H162" s="38"/>
      <c r="I162" s="38"/>
      <c r="J162" s="38"/>
      <c r="K162" s="38"/>
      <c r="L162" s="38"/>
      <c r="M162" s="38"/>
      <c r="N162" s="39"/>
    </row>
    <row r="163" spans="1:14" ht="91" customHeight="1"/>
    <row r="164" spans="1:14" ht="45">
      <c r="A164" s="6" t="s">
        <v>85</v>
      </c>
      <c r="B164" s="15" t="s">
        <v>64</v>
      </c>
      <c r="C164" s="33" t="s">
        <v>43</v>
      </c>
      <c r="D164" s="33"/>
      <c r="E164" s="33" t="s">
        <v>46</v>
      </c>
      <c r="F164" s="33"/>
      <c r="G164" s="33"/>
      <c r="H164" s="33"/>
      <c r="I164" s="33"/>
      <c r="J164" s="33"/>
      <c r="K164" s="33"/>
      <c r="L164" s="33"/>
      <c r="M164" s="33"/>
      <c r="N164" s="33"/>
    </row>
    <row r="165" spans="1:14">
      <c r="A165" s="6"/>
      <c r="B165" s="16"/>
      <c r="C165" s="16" t="s">
        <v>62</v>
      </c>
      <c r="D165" s="16" t="s">
        <v>63</v>
      </c>
      <c r="E165" s="3" t="s">
        <v>55</v>
      </c>
      <c r="F165" s="3" t="s">
        <v>66</v>
      </c>
      <c r="G165" s="3" t="s">
        <v>56</v>
      </c>
      <c r="H165" s="3" t="s">
        <v>57</v>
      </c>
      <c r="I165" s="3" t="s">
        <v>58</v>
      </c>
      <c r="J165" s="3" t="s">
        <v>59</v>
      </c>
      <c r="K165" s="3" t="s">
        <v>60</v>
      </c>
      <c r="L165" s="3" t="s">
        <v>67</v>
      </c>
      <c r="M165" s="3" t="s">
        <v>61</v>
      </c>
      <c r="N165" s="3" t="s">
        <v>65</v>
      </c>
    </row>
    <row r="166" spans="1:14">
      <c r="A166" s="3" t="s">
        <v>11</v>
      </c>
      <c r="B166" s="4">
        <f>COUNTIF('Participant Responses'!AB2:AB1000,"y")</f>
        <v>0</v>
      </c>
      <c r="C166" s="4">
        <f>COUNTIFS('Participant Responses'!AB2:AB1000,"y",'Participant Responses'!$C$2:$C$1000,"m")</f>
        <v>0</v>
      </c>
      <c r="D166" s="4">
        <f>COUNTIFS('Participant Responses'!AB2:AB1000,"y",'Participant Responses'!$C$2:$C$1000,"f")</f>
        <v>0</v>
      </c>
      <c r="E166" s="4">
        <f>COUNTIFS('Participant Responses'!AB2:AB1000,"y",'Participant Responses'!$B$2:$B$1000,"&lt;=4")</f>
        <v>0</v>
      </c>
      <c r="F166" s="4">
        <f>COUNTIFS('Participant Responses'!AB2:AB1000,"y",'Participant Responses'!$B$2:$B$1000,"&gt;=5",'Participant Responses'!$B$2:$B$1000,"&lt;=14")</f>
        <v>0</v>
      </c>
      <c r="G166" s="4">
        <f>COUNTIFS('Participant Responses'!AB2:AB1000,"y",'Participant Responses'!$B$2:$B$1000,"&gt;=15",'Participant Responses'!$B$2:$B$1000,"&lt;=19")</f>
        <v>0</v>
      </c>
      <c r="H166" s="4">
        <f>COUNTIFS('Participant Responses'!AB2:AB1000,"y",'Participant Responses'!$B$2:$B$1000,"&gt;=20",'Participant Responses'!$B$2:$B$1000,"&lt;=24")</f>
        <v>0</v>
      </c>
      <c r="I166" s="4">
        <f>COUNTIFS('Participant Responses'!AB2:AB1000,"y",'Participant Responses'!$B$2:$B$1000,"&gt;=25",'Participant Responses'!$B$2:$B$1000,"&lt;=44")</f>
        <v>0</v>
      </c>
      <c r="J166" s="4">
        <f>COUNTIFS('Participant Responses'!AB2:AB1000,"y",'Participant Responses'!$B$2:$B$1000,"&gt;=45",'Participant Responses'!$B$2:$B$1000,"&lt;=54")</f>
        <v>0</v>
      </c>
      <c r="K166" s="4">
        <f>COUNTIFS('Participant Responses'!AB2:AB1000,"y",'Participant Responses'!$B$2:$B$1000,"&gt;=55",'Participant Responses'!$B$2:$B$1000,"&lt;=64")</f>
        <v>0</v>
      </c>
      <c r="L166" s="4">
        <f>COUNTIFS('Participant Responses'!AB2:AB1000,"y",'Participant Responses'!$B$2:$B$1000,"&gt;=65",'Participant Responses'!$B$2:$B$1000,"&lt;=74")</f>
        <v>0</v>
      </c>
      <c r="M166" s="4">
        <f>COUNTIFS('Participant Responses'!AB2:AB1000,"y",'Participant Responses'!$B$2:$B$1000,"&gt;=75",'Participant Responses'!$B$2:$B$1000,"&lt;=84")</f>
        <v>0</v>
      </c>
      <c r="N166" s="4">
        <f>COUNTIFS('Participant Responses'!AB2:AB1000,"y",'Participant Responses'!$B$2:$B$1000,"&gt;85")</f>
        <v>0</v>
      </c>
    </row>
    <row r="167" spans="1:14">
      <c r="A167" s="3" t="s">
        <v>12</v>
      </c>
      <c r="B167" s="4">
        <f>COUNTIF('Participant Responses'!AB2:AB1000,"n")</f>
        <v>0</v>
      </c>
      <c r="C167" s="4">
        <f>COUNTIFS('Participant Responses'!AB2:AB1000,"n",'Participant Responses'!C131:C1129,"m")</f>
        <v>0</v>
      </c>
      <c r="D167" s="4">
        <f>COUNTIFS('Participant Responses'!AB2:AB1000,"n",'Participant Responses'!C131:C1129,"f")</f>
        <v>0</v>
      </c>
      <c r="E167" s="4">
        <f>COUNTIFS('Participant Responses'!AB2:AB1000,"n",'Participant Responses'!B131:B1129,"&lt;=4")</f>
        <v>0</v>
      </c>
      <c r="F167" s="4">
        <f>COUNTIFS('Participant Responses'!AB2:AB1000,"n",'Participant Responses'!B131:B1129,"&gt;=5",'Participant Responses'!B131:B1129,"&lt;=14")</f>
        <v>0</v>
      </c>
      <c r="G167" s="4">
        <f>COUNTIFS('Participant Responses'!AB2:AB1000,"n",'Participant Responses'!B131:B1129,"&gt;=15",'Participant Responses'!B131:B1129,"&lt;=19")</f>
        <v>0</v>
      </c>
      <c r="H167" s="4">
        <f>COUNTIFS('Participant Responses'!AB2:AB1000,"n",'Participant Responses'!B131:B1129,"&gt;=20",'Participant Responses'!B131:B1129,"&lt;=24")</f>
        <v>0</v>
      </c>
      <c r="I167" s="4">
        <f>COUNTIFS('Participant Responses'!AB2:AB1000,"n",'Participant Responses'!B131:B1129,"&gt;=25",'Participant Responses'!B131:B1129,"&lt;=44")</f>
        <v>0</v>
      </c>
      <c r="J167" s="4">
        <f>COUNTIFS('Participant Responses'!AB2:AB1000,"n",'Participant Responses'!B131:B1129,"&gt;=45",'Participant Responses'!B131:B1129,"&lt;=54")</f>
        <v>0</v>
      </c>
      <c r="K167" s="4">
        <f>COUNTIFS('Participant Responses'!AB2:AB1000,"n",'Participant Responses'!B131:B1129,"&gt;=55",'Participant Responses'!B131:B1129,"&lt;=64")</f>
        <v>0</v>
      </c>
      <c r="L167" s="4">
        <f>COUNTIFS('Participant Responses'!AB2:AB1000,"n",'Participant Responses'!B131:B1129,"&gt;=65",'Participant Responses'!B131:B1129,"&lt;=74")</f>
        <v>0</v>
      </c>
      <c r="M167" s="4">
        <f>COUNTIFS('Participant Responses'!AB2:AB1000,"n",'Participant Responses'!B131:B1129,"&gt;=75",'Participant Responses'!B131:B1129,"&lt;=84")</f>
        <v>0</v>
      </c>
      <c r="N167" s="4">
        <f>COUNTIFS('Participant Responses'!AB2:AB1000,"n",'Participant Responses'!B131:B1129,"&gt;85")</f>
        <v>0</v>
      </c>
    </row>
    <row r="168" spans="1:14">
      <c r="A168" s="3" t="s">
        <v>86</v>
      </c>
      <c r="B168" s="4">
        <f>COUNTIF('Participant Responses'!AB2:AB1000,"?ot ?ure")</f>
        <v>0</v>
      </c>
      <c r="C168" s="4">
        <f>COUNTIFS('Participant Responses'!AB2:AB1000,"?ot ?ure",'Participant Responses'!$C$2:$C$1000,"m")</f>
        <v>0</v>
      </c>
      <c r="D168" s="4">
        <f>COUNTIFS('Participant Responses'!AB2:AB1000,"?ot ?ure",'Participant Responses'!$C$2:$C$1000,"f")</f>
        <v>0</v>
      </c>
      <c r="E168" s="4">
        <f>COUNTIFS('Participant Responses'!AB2:AB1000,"?ot ?ure",'Participant Responses'!$B$2:$B$1000,"&lt;=4")</f>
        <v>0</v>
      </c>
      <c r="F168" s="4">
        <f>COUNTIFS('Participant Responses'!AB2:AB1000,"?ot ?ure",'Participant Responses'!$B$2:$B$1000,"&gt;=5",'Participant Responses'!$B$2:$B$1000,"&lt;=14")</f>
        <v>0</v>
      </c>
      <c r="G168" s="4">
        <f>COUNTIFS('Participant Responses'!AB2:AB1000,"?ot ?ure",'Participant Responses'!$B$2:$B$1000,"&gt;=15",'Participant Responses'!$B$2:$B$1000,"&lt;=19")</f>
        <v>0</v>
      </c>
      <c r="H168" s="4">
        <f>COUNTIFS('Participant Responses'!AB2:AB1000,"?ot ?ure",'Participant Responses'!$B$2:$B$1000,"&gt;=20",'Participant Responses'!$B$2:$B$1000,"&lt;=24")</f>
        <v>0</v>
      </c>
      <c r="I168" s="4">
        <f>COUNTIFS('Participant Responses'!AB2:AB1000,"?ot ?ure",'Participant Responses'!$B$2:$B$1000,"&gt;=25",'Participant Responses'!$B$2:$B$1000,"&lt;=44")</f>
        <v>0</v>
      </c>
      <c r="J168" s="4">
        <f>COUNTIFS('Participant Responses'!AB2:AB1000,"?ot ?ure",'Participant Responses'!$B$2:$B$1000,"&gt;=45",'Participant Responses'!$B$2:$B$1000,"&lt;=54")</f>
        <v>0</v>
      </c>
      <c r="K168" s="4">
        <f>COUNTIFS('Participant Responses'!AB2:AB1000,"?ot ?ure",'Participant Responses'!$B$2:$B$1000,"&gt;=55",'Participant Responses'!$B$2:$B$1000,"&lt;=64")</f>
        <v>0</v>
      </c>
      <c r="L168" s="4">
        <f>COUNTIFS('Participant Responses'!AB2:AB1000,"?ot ?ure",'Participant Responses'!$B$2:$B$1000,"&gt;=65",'Participant Responses'!$B$2:$B$1000,"&lt;=74")</f>
        <v>0</v>
      </c>
      <c r="M168" s="4">
        <f>COUNTIFS('Participant Responses'!AB2:AB1000,"?ot ?ure",'Participant Responses'!$B$2:$B$1000,"&gt;=75",'Participant Responses'!$B$2:$B$1000,"&lt;=84")</f>
        <v>0</v>
      </c>
      <c r="N168" s="4">
        <f>COUNTIFS('Participant Responses'!AB2:AB1000,"?ot ?ure",'Participant Responses'!$B$2:$B$1000,"&gt;85")</f>
        <v>0</v>
      </c>
    </row>
    <row r="170" spans="1:14" ht="44" customHeight="1">
      <c r="A170" s="6" t="s">
        <v>91</v>
      </c>
      <c r="B170" s="34" t="s">
        <v>87</v>
      </c>
      <c r="C170" s="35"/>
      <c r="D170" s="36"/>
      <c r="E170" s="33" t="s">
        <v>105</v>
      </c>
      <c r="F170" s="33"/>
      <c r="G170" s="33"/>
      <c r="H170" s="33"/>
      <c r="I170" s="33"/>
      <c r="J170" s="33"/>
      <c r="K170" s="33"/>
      <c r="L170" s="33"/>
      <c r="M170" s="33"/>
      <c r="N170" s="33"/>
    </row>
    <row r="171" spans="1:14">
      <c r="A171" s="3"/>
      <c r="B171" s="4" t="s">
        <v>88</v>
      </c>
      <c r="C171" s="4" t="s">
        <v>89</v>
      </c>
      <c r="D171" s="4" t="s">
        <v>90</v>
      </c>
      <c r="E171" s="3" t="s">
        <v>55</v>
      </c>
      <c r="F171" s="3" t="s">
        <v>66</v>
      </c>
      <c r="G171" s="3" t="s">
        <v>56</v>
      </c>
      <c r="H171" s="3" t="s">
        <v>57</v>
      </c>
      <c r="I171" s="3" t="s">
        <v>58</v>
      </c>
      <c r="J171" s="3" t="s">
        <v>59</v>
      </c>
      <c r="K171" s="3" t="s">
        <v>60</v>
      </c>
      <c r="L171" s="3" t="s">
        <v>67</v>
      </c>
      <c r="M171" s="3" t="s">
        <v>61</v>
      </c>
      <c r="N171" s="3" t="s">
        <v>65</v>
      </c>
    </row>
    <row r="172" spans="1:14">
      <c r="A172" s="3" t="s">
        <v>92</v>
      </c>
      <c r="B172" s="4">
        <f>COUNTIF('Participant Responses'!$AC$2:$AC$1000,"?ulture")</f>
        <v>0</v>
      </c>
      <c r="C172" s="4">
        <f>COUNTIF('Participant Responses'!$AD$2:$AD$1000,"?ulture")</f>
        <v>0</v>
      </c>
      <c r="D172" s="4">
        <f>COUNTIF('Participant Responses'!$AE$2:$AE$1000,"?ulture")</f>
        <v>0</v>
      </c>
      <c r="E172" s="4">
        <f>COUNTIFS('Participant Responses'!$AC$2:$AC$1000,"?ulture",'Participant Responses'!$B$2:$B$1000,"&lt;=4")</f>
        <v>0</v>
      </c>
      <c r="F172" s="4">
        <f>COUNTIFS('Participant Responses'!$AC$2:$AC$1000,"?ulture",'Participant Responses'!$B$2:$B$1000,"&gt;=5",'Participant Responses'!$B$2:$B$1000,"&lt;=14")</f>
        <v>0</v>
      </c>
      <c r="G172" s="4">
        <f>COUNTIFS('Participant Responses'!$AC$2:$AC$1000,"?ulture",'Participant Responses'!$B$2:$B$1000,"&gt;=15",'Participant Responses'!$B$2:$B$1000,"&lt;=19")</f>
        <v>0</v>
      </c>
      <c r="H172" s="4">
        <f>COUNTIFS('Participant Responses'!$AC$2:$AC$1000,"?ulture",'Participant Responses'!$B$2:$B$1000,"&gt;=20",'Participant Responses'!$B$2:$B$1000,"&lt;=24")</f>
        <v>0</v>
      </c>
      <c r="I172" s="4">
        <f>COUNTIFS('Participant Responses'!$AC$2:$AC$1000,"?ulture",'Participant Responses'!$B$2:$B$1000,"&gt;=25",'Participant Responses'!$B$2:$B$1000,"&lt;=44")</f>
        <v>0</v>
      </c>
      <c r="J172" s="4">
        <f>COUNTIFS('Participant Responses'!$AC$2:$AC$1000,"?ulture",'Participant Responses'!$B$2:$B$1000,"&gt;=45",'Participant Responses'!$B$2:$B$1000,"&lt;=54")</f>
        <v>0</v>
      </c>
      <c r="K172" s="4">
        <f>COUNTIFS('Participant Responses'!$AC$2:$AC$1000,"?ulture",'Participant Responses'!$B$2:$B$1000,"&gt;=55",'Participant Responses'!$B$2:$B$1000,"&lt;=64")</f>
        <v>0</v>
      </c>
      <c r="L172" s="4">
        <f>COUNTIFS('Participant Responses'!$AC$2:$AC$1000,"?ulture",'Participant Responses'!$B$2:$B$1000,"&gt;=65",'Participant Responses'!$B$2:$B$1000,"&lt;=74")</f>
        <v>0</v>
      </c>
      <c r="M172" s="4">
        <f>COUNTIFS('Participant Responses'!$AC$2:$AC$1000,"?ulture",'Participant Responses'!$B$2:$B$1000,"&gt;=75",'Participant Responses'!$B$2:$B$1000,"&lt;=84")</f>
        <v>0</v>
      </c>
      <c r="N172" s="4">
        <f>COUNTIFS('Participant Responses'!$AC$2:$AC$1000,"?ulture",'Participant Responses'!$B$2:$B$1000,"&gt;85")</f>
        <v>0</v>
      </c>
    </row>
    <row r="173" spans="1:14">
      <c r="A173" s="3" t="s">
        <v>93</v>
      </c>
      <c r="B173" s="4">
        <f>COUNTIF('Participant Responses'!$AC$2:$AC$1000,"?ncestor*")</f>
        <v>0</v>
      </c>
      <c r="C173" s="4">
        <f>COUNTIF('Participant Responses'!$AD$2:$AD$1000,"?ncestor*")</f>
        <v>0</v>
      </c>
      <c r="D173" s="4">
        <f>COUNTIF('Participant Responses'!$AE$2:$AE$1000,"?ncestor*")</f>
        <v>0</v>
      </c>
      <c r="E173" s="4">
        <f>COUNTIFS('Participant Responses'!$AC$2:$AC$1000,"?ncestor*",'Participant Responses'!$B$2:$B$1000,"&lt;=4")</f>
        <v>0</v>
      </c>
      <c r="F173" s="4">
        <f>COUNTIFS('Participant Responses'!$AC$2:$AC$1000,"?ncestor*",'Participant Responses'!$B$2:$B$1000,"&gt;=5",'Participant Responses'!$B$2:$B$1000,"&lt;=14")</f>
        <v>0</v>
      </c>
      <c r="G173" s="4">
        <f>COUNTIFS('Participant Responses'!$AC$2:$AC$1000,"?ncestor*",'Participant Responses'!$B$2:$B$1000,"&gt;=15",'Participant Responses'!$B$2:$B$1000,"&lt;=19")</f>
        <v>0</v>
      </c>
      <c r="H173" s="4">
        <f>COUNTIFS('Participant Responses'!$AC$2:$AC$1000,"?ncestor*",'Participant Responses'!$B$2:$B$1000,"&gt;=20",'Participant Responses'!$B$2:$B$1000,"&lt;=24")</f>
        <v>0</v>
      </c>
      <c r="I173" s="4">
        <f>COUNTIFS('Participant Responses'!$AC$2:$AC$1000,"?ncestor*",'Participant Responses'!$B$2:$B$1000,"&gt;=25",'Participant Responses'!$B$2:$B$1000,"&lt;=44")</f>
        <v>0</v>
      </c>
      <c r="J173" s="4">
        <f>COUNTIFS('Participant Responses'!$AC$2:$AC$1000,"?ncestor*",'Participant Responses'!$B$2:$B$1000,"&gt;=45",'Participant Responses'!$B$2:$B$1000,"&lt;=54")</f>
        <v>0</v>
      </c>
      <c r="K173" s="4">
        <f>COUNTIFS('Participant Responses'!$AC$2:$AC$1000,"?ncestor*",'Participant Responses'!$B$2:$B$1000,"&gt;=55",'Participant Responses'!$B$2:$B$1000,"&lt;=64")</f>
        <v>0</v>
      </c>
      <c r="L173" s="4">
        <f>COUNTIFS('Participant Responses'!$AC$2:$AC$1000,"?ncestor*",'Participant Responses'!$B$2:$B$1000,"&gt;=65",'Participant Responses'!$B$2:$B$1000,"&lt;=74")</f>
        <v>0</v>
      </c>
      <c r="M173" s="4">
        <f>COUNTIFS('Participant Responses'!$AC$2:$AC$1000,"?ncestor*",'Participant Responses'!$B$2:$B$1000,"&gt;=75",'Participant Responses'!$B$2:$B$1000,"&lt;=84")</f>
        <v>0</v>
      </c>
      <c r="N173" s="4">
        <f>COUNTIFS('Participant Responses'!$AC$2:$AC$1000,"?ncestor*",'Participant Responses'!$B$2:$B$1000,"&gt;85")</f>
        <v>0</v>
      </c>
    </row>
    <row r="174" spans="1:14">
      <c r="A174" s="3" t="s">
        <v>94</v>
      </c>
      <c r="B174" s="4">
        <f>COUNTIF('Participant Responses'!$AC$2:$AC$1000,"?amily")</f>
        <v>0</v>
      </c>
      <c r="C174" s="4">
        <f>COUNTIF('Participant Responses'!$AD$2:$AD$1000,"?amily")</f>
        <v>0</v>
      </c>
      <c r="D174" s="4">
        <f>COUNTIF('Participant Responses'!$AE$2:$AE$1000,"?amily")</f>
        <v>0</v>
      </c>
      <c r="E174" s="4">
        <f>COUNTIFS('Participant Responses'!$AC$2:$AC$1000,"?amily",'Participant Responses'!$B$2:$B$1000,"&lt;=4")</f>
        <v>0</v>
      </c>
      <c r="F174" s="4">
        <f>COUNTIFS('Participant Responses'!$AC$2:$AC$1000,"?amily",'Participant Responses'!$B$2:$B$1000,"&gt;=5",'Participant Responses'!$B$2:$B$1000,"&lt;=14")</f>
        <v>0</v>
      </c>
      <c r="G174" s="4">
        <f>COUNTIFS('Participant Responses'!$AC$2:$AC$1000,"?amily",'Participant Responses'!$B$2:$B$1000,"&gt;=15",'Participant Responses'!$B$2:$B$1000,"&lt;=19")</f>
        <v>0</v>
      </c>
      <c r="H174" s="4">
        <f>COUNTIFS('Participant Responses'!$AC$2:$AC$1000,"?amily",'Participant Responses'!$B$2:$B$1000,"&gt;=20",'Participant Responses'!$B$2:$B$1000,"&lt;=24")</f>
        <v>0</v>
      </c>
      <c r="I174" s="4">
        <f>COUNTIFS('Participant Responses'!$AC$2:$AC$1000,"?amily",'Participant Responses'!$B$2:$B$1000,"&gt;=25",'Participant Responses'!$B$2:$B$1000,"&lt;=44")</f>
        <v>0</v>
      </c>
      <c r="J174" s="4">
        <f>COUNTIFS('Participant Responses'!$AC$2:$AC$1000,"?amily",'Participant Responses'!$B$2:$B$1000,"&gt;=45",'Participant Responses'!$B$2:$B$1000,"&lt;=54")</f>
        <v>0</v>
      </c>
      <c r="K174" s="4">
        <f>COUNTIFS('Participant Responses'!$AC$2:$AC$1000,"?amily",'Participant Responses'!$B$2:$B$1000,"&gt;=55",'Participant Responses'!$B$2:$B$1000,"&lt;=64")</f>
        <v>0</v>
      </c>
      <c r="L174" s="4">
        <f>COUNTIFS('Participant Responses'!$AC$2:$AC$1000,"?amily",'Participant Responses'!$B$2:$B$1000,"&gt;=65",'Participant Responses'!$B$2:$B$1000,"&lt;=74")</f>
        <v>0</v>
      </c>
      <c r="M174" s="4">
        <f>COUNTIFS('Participant Responses'!$AC$2:$AC$1000,"?amily",'Participant Responses'!$B$2:$B$1000,"&gt;=75",'Participant Responses'!$B$2:$B$1000,"&lt;=84")</f>
        <v>0</v>
      </c>
      <c r="N174" s="4">
        <f>COUNTIFS('Participant Responses'!$AC$2:$AC$1000,"?amily",'Participant Responses'!$B$2:$B$1000,"&gt;85")</f>
        <v>0</v>
      </c>
    </row>
    <row r="175" spans="1:14">
      <c r="A175" s="3" t="s">
        <v>95</v>
      </c>
      <c r="B175" s="4">
        <f>COUNTIF('Participant Responses'!$AC$2:$AC$1000,"?riend*")</f>
        <v>0</v>
      </c>
      <c r="C175" s="4">
        <f>COUNTIF('Participant Responses'!$AD$2:$AD$1000,"?riend*")</f>
        <v>0</v>
      </c>
      <c r="D175" s="4">
        <f>COUNTIF('Participant Responses'!$AE$2:$AE$1000,"?riend*")</f>
        <v>0</v>
      </c>
      <c r="E175" s="4">
        <f>COUNTIFS('Participant Responses'!$AC$2:$AC$1000,"?riend*",'Participant Responses'!$B$2:$B$1000,"&lt;=4")</f>
        <v>0</v>
      </c>
      <c r="F175" s="4">
        <f>COUNTIFS('Participant Responses'!$AC$2:$AC$1000,"?riend*",'Participant Responses'!$B$2:$B$1000,"&gt;=5",'Participant Responses'!$B$2:$B$1000,"&lt;=14")</f>
        <v>0</v>
      </c>
      <c r="G175" s="4">
        <f>COUNTIFS('Participant Responses'!$AC$2:$AC$1000,"?riend*",'Participant Responses'!$B$2:$B$1000,"&gt;=15",'Participant Responses'!$B$2:$B$1000,"&lt;=19")</f>
        <v>0</v>
      </c>
      <c r="H175" s="4">
        <f>COUNTIFS('Participant Responses'!$AC$2:$AC$1000,"?riend*",'Participant Responses'!$B$2:$B$1000,"&gt;=20",'Participant Responses'!$B$2:$B$1000,"&lt;=24")</f>
        <v>0</v>
      </c>
      <c r="I175" s="4">
        <f>COUNTIFS('Participant Responses'!$AC$2:$AC$1000,"?riend*",'Participant Responses'!$B$2:$B$1000,"&gt;=25",'Participant Responses'!$B$2:$B$1000,"&lt;=44")</f>
        <v>0</v>
      </c>
      <c r="J175" s="4">
        <f>COUNTIFS('Participant Responses'!$AC$2:$AC$1000,"?riend*",'Participant Responses'!$B$2:$B$1000,"&gt;=45",'Participant Responses'!$B$2:$B$1000,"&lt;=54")</f>
        <v>0</v>
      </c>
      <c r="K175" s="4">
        <f>COUNTIFS('Participant Responses'!$AC$2:$AC$1000,"?riend*",'Participant Responses'!$B$2:$B$1000,"&gt;=55",'Participant Responses'!$B$2:$B$1000,"&lt;=64")</f>
        <v>0</v>
      </c>
      <c r="L175" s="4">
        <f>COUNTIFS('Participant Responses'!$AC$2:$AC$1000,"?riend*",'Participant Responses'!$B$2:$B$1000,"&gt;=65",'Participant Responses'!$B$2:$B$1000,"&lt;=74")</f>
        <v>0</v>
      </c>
      <c r="M175" s="4">
        <f>COUNTIFS('Participant Responses'!$AC$2:$AC$1000,"?riend*",'Participant Responses'!$B$2:$B$1000,"&gt;=75",'Participant Responses'!$B$2:$B$1000,"&lt;=84")</f>
        <v>0</v>
      </c>
      <c r="N175" s="4">
        <f>COUNTIFS('Participant Responses'!$AC$2:$AC$1000,"?riend*",'Participant Responses'!$B$2:$B$1000,"&gt;85")</f>
        <v>0</v>
      </c>
    </row>
    <row r="176" spans="1:14">
      <c r="A176" s="3" t="s">
        <v>96</v>
      </c>
      <c r="B176" s="4">
        <f>COUNTIF('Participant Responses'!$AC$2:$AC$1000,"?lder*")</f>
        <v>0</v>
      </c>
      <c r="C176" s="4">
        <f>COUNTIF('Participant Responses'!$AD$2:$AD$1000,"?lder*")</f>
        <v>0</v>
      </c>
      <c r="D176" s="4">
        <f>COUNTIF('Participant Responses'!$AE$2:$AE$1000,"?lder*")</f>
        <v>0</v>
      </c>
      <c r="E176" s="4">
        <f>COUNTIFS('Participant Responses'!$AC$2:$AC$1000,"?lder*",'Participant Responses'!$B$2:$B$1000,"&lt;=4")</f>
        <v>0</v>
      </c>
      <c r="F176" s="4">
        <f>COUNTIFS('Participant Responses'!$AC$2:$AC$1000,"?lder*",'Participant Responses'!$B$2:$B$1000,"&gt;=5",'Participant Responses'!$B$2:$B$1000,"&lt;=14")</f>
        <v>0</v>
      </c>
      <c r="G176" s="4">
        <f>COUNTIFS('Participant Responses'!$AC$2:$AC$1000,"?lder*",'Participant Responses'!$B$2:$B$1000,"&gt;=15",'Participant Responses'!$B$2:$B$1000,"&lt;=19")</f>
        <v>0</v>
      </c>
      <c r="H176" s="4">
        <f>COUNTIFS('Participant Responses'!$AC$2:$AC$1000,"?lder*",'Participant Responses'!$B$2:$B$1000,"&gt;=20",'Participant Responses'!$B$2:$B$1000,"&lt;=24")</f>
        <v>0</v>
      </c>
      <c r="I176" s="4">
        <f>COUNTIFS('Participant Responses'!$AC$2:$AC$1000,"?lder*",'Participant Responses'!$B$2:$B$1000,"&gt;=25",'Participant Responses'!$B$2:$B$1000,"&lt;=44")</f>
        <v>0</v>
      </c>
      <c r="J176" s="4">
        <f>COUNTIFS('Participant Responses'!$AC$2:$AC$1000,"?lder*",'Participant Responses'!$B$2:$B$1000,"&gt;=45",'Participant Responses'!$B$2:$B$1000,"&lt;=54")</f>
        <v>0</v>
      </c>
      <c r="K176" s="4">
        <f>COUNTIFS('Participant Responses'!$AC$2:$AC$1000,"?lder*",'Participant Responses'!$B$2:$B$1000,"&gt;=55",'Participant Responses'!$B$2:$B$1000,"&lt;=64")</f>
        <v>0</v>
      </c>
      <c r="L176" s="4">
        <f>COUNTIFS('Participant Responses'!$AC$2:$AC$1000,"?lder*",'Participant Responses'!$B$2:$B$1000,"&gt;=65",'Participant Responses'!$B$2:$B$1000,"&lt;=74")</f>
        <v>0</v>
      </c>
      <c r="M176" s="4">
        <f>COUNTIFS('Participant Responses'!$AC$2:$AC$1000,"?lder*",'Participant Responses'!$B$2:$B$1000,"&gt;=75",'Participant Responses'!$B$2:$B$1000,"&lt;=84")</f>
        <v>0</v>
      </c>
      <c r="N176" s="4">
        <f>COUNTIFS('Participant Responses'!$AC$2:$AC$1000,"?lder*",'Participant Responses'!$B$2:$B$1000,"&gt;85")</f>
        <v>0</v>
      </c>
    </row>
    <row r="177" spans="1:14">
      <c r="A177" s="3" t="s">
        <v>97</v>
      </c>
      <c r="B177" s="4">
        <f>COUNTIF('Participant Responses'!$AC$2:$AC$1000,"?ommunity")</f>
        <v>0</v>
      </c>
      <c r="C177" s="4">
        <f>COUNTIF('Participant Responses'!$AD$2:$AD$1000,"?ommunity")</f>
        <v>0</v>
      </c>
      <c r="D177" s="4">
        <f>COUNTIF('Participant Responses'!$AE$2:$AE$1000,"?ommunity")</f>
        <v>0</v>
      </c>
      <c r="E177" s="4">
        <f>COUNTIFS('Participant Responses'!$AC$2:$AC$1000,"?ommunity",'Participant Responses'!$B$2:$B$1000,"&lt;=4")</f>
        <v>0</v>
      </c>
      <c r="F177" s="4">
        <f>COUNTIFS('Participant Responses'!$AC$2:$AC$1000,"?ommunity",'Participant Responses'!$B$2:$B$1000,"&gt;=5",'Participant Responses'!$B$2:$B$1000,"&lt;=14")</f>
        <v>0</v>
      </c>
      <c r="G177" s="4">
        <f>COUNTIFS('Participant Responses'!$AC$2:$AC$1000,"?ommunity",'Participant Responses'!$B$2:$B$1000,"&gt;=15",'Participant Responses'!$B$2:$B$1000,"&lt;=19")</f>
        <v>0</v>
      </c>
      <c r="H177" s="4">
        <f>COUNTIFS('Participant Responses'!$AC$2:$AC$1000,"?ommunity",'Participant Responses'!$B$2:$B$1000,"&gt;=20",'Participant Responses'!$B$2:$B$1000,"&lt;=24")</f>
        <v>0</v>
      </c>
      <c r="I177" s="4">
        <f>COUNTIFS('Participant Responses'!$AC$2:$AC$1000,"?ommunity",'Participant Responses'!$B$2:$B$1000,"&gt;=25",'Participant Responses'!$B$2:$B$1000,"&lt;=44")</f>
        <v>0</v>
      </c>
      <c r="J177" s="4">
        <f>COUNTIFS('Participant Responses'!$AC$2:$AC$1000,"?ommunity",'Participant Responses'!$B$2:$B$1000,"&gt;=45",'Participant Responses'!$B$2:$B$1000,"&lt;=54")</f>
        <v>0</v>
      </c>
      <c r="K177" s="4">
        <f>COUNTIFS('Participant Responses'!$AC$2:$AC$1000,"?ommunity",'Participant Responses'!$B$2:$B$1000,"&gt;=55",'Participant Responses'!$B$2:$B$1000,"&lt;=64")</f>
        <v>0</v>
      </c>
      <c r="L177" s="4">
        <f>COUNTIFS('Participant Responses'!$AC$2:$AC$1000,"?ommunity",'Participant Responses'!$B$2:$B$1000,"&gt;=65",'Participant Responses'!$B$2:$B$1000,"&lt;=74")</f>
        <v>0</v>
      </c>
      <c r="M177" s="4">
        <f>COUNTIFS('Participant Responses'!$AC$2:$AC$1000,"?ommunity",'Participant Responses'!$B$2:$B$1000,"&gt;=75",'Participant Responses'!$B$2:$B$1000,"&lt;=84")</f>
        <v>0</v>
      </c>
      <c r="N177" s="4">
        <f>COUNTIFS('Participant Responses'!$AC$2:$AC$1000,"?ommunity",'Participant Responses'!$B$2:$B$1000,"&gt;85")</f>
        <v>0</v>
      </c>
    </row>
    <row r="178" spans="1:14">
      <c r="A178" s="3" t="s">
        <v>98</v>
      </c>
      <c r="B178" s="4">
        <f>COUNTIF('Participant Responses'!$AC$2:$AC$1000,"?eremony")</f>
        <v>0</v>
      </c>
      <c r="C178" s="4">
        <f>COUNTIF('Participant Responses'!$AD$2:$AD$1000,"?eremony")</f>
        <v>0</v>
      </c>
      <c r="D178" s="4">
        <f>COUNTIF('Participant Responses'!$AE$2:$AE$1000,"?eremony")</f>
        <v>0</v>
      </c>
      <c r="E178" s="4">
        <f>COUNTIFS('Participant Responses'!$AC$2:$AC$1000,"?eremony",'Participant Responses'!$B$2:$B$1000,"&lt;=4")</f>
        <v>0</v>
      </c>
      <c r="F178" s="4">
        <f>COUNTIFS('Participant Responses'!$AC$2:$AC$1000,"?eremony",'Participant Responses'!$B$2:$B$1000,"&gt;=5",'Participant Responses'!$B$2:$B$1000,"&lt;=14")</f>
        <v>0</v>
      </c>
      <c r="G178" s="4">
        <f>COUNTIFS('Participant Responses'!$AC$2:$AC$1000,"?eremony",'Participant Responses'!$B$2:$B$1000,"&gt;=15",'Participant Responses'!$B$2:$B$1000,"&lt;=19")</f>
        <v>0</v>
      </c>
      <c r="H178" s="4">
        <f>COUNTIFS('Participant Responses'!$AC$2:$AC$1000,"?eremony",'Participant Responses'!$B$2:$B$1000,"&gt;=20",'Participant Responses'!$B$2:$B$1000,"&lt;=24")</f>
        <v>0</v>
      </c>
      <c r="I178" s="4">
        <f>COUNTIFS('Participant Responses'!$AC$2:$AC$1000,"?eremony",'Participant Responses'!$B$2:$B$1000,"&gt;=25",'Participant Responses'!$B$2:$B$1000,"&lt;=44")</f>
        <v>0</v>
      </c>
      <c r="J178" s="4">
        <f>COUNTIFS('Participant Responses'!$AC$2:$AC$1000,"?eremony",'Participant Responses'!$B$2:$B$1000,"&gt;=45",'Participant Responses'!$B$2:$B$1000,"&lt;=54")</f>
        <v>0</v>
      </c>
      <c r="K178" s="4">
        <f>COUNTIFS('Participant Responses'!$AC$2:$AC$1000,"?eremony",'Participant Responses'!$B$2:$B$1000,"&gt;=55",'Participant Responses'!$B$2:$B$1000,"&lt;=64")</f>
        <v>0</v>
      </c>
      <c r="L178" s="4">
        <f>COUNTIFS('Participant Responses'!$AC$2:$AC$1000,"?eremony",'Participant Responses'!$B$2:$B$1000,"&gt;=65",'Participant Responses'!$B$2:$B$1000,"&lt;=74")</f>
        <v>0</v>
      </c>
      <c r="M178" s="4">
        <f>COUNTIFS('Participant Responses'!$AC$2:$AC$1000,"?eremony",'Participant Responses'!$B$2:$B$1000,"&gt;=75",'Participant Responses'!$B$2:$B$1000,"&lt;=84")</f>
        <v>0</v>
      </c>
      <c r="N178" s="4">
        <f>COUNTIFS('Participant Responses'!$AC$2:$AC$1000,"?eremony",'Participant Responses'!$B$2:$B$1000,"&gt;85")</f>
        <v>0</v>
      </c>
    </row>
    <row r="179" spans="1:14">
      <c r="A179" s="3" t="s">
        <v>99</v>
      </c>
      <c r="B179" s="4">
        <f>COUNTIF('Participant Responses'!$AC$2:$AC$1000,"?ork*")</f>
        <v>0</v>
      </c>
      <c r="C179" s="4">
        <f>COUNTIF('Participant Responses'!$AD$2:$AD$1000,"?ork*")</f>
        <v>0</v>
      </c>
      <c r="D179" s="4">
        <f>COUNTIF('Participant Responses'!$AE$2:$AE$1000,"?ork*")</f>
        <v>0</v>
      </c>
      <c r="E179" s="4">
        <f>COUNTIFS('Participant Responses'!$AC$2:$AC$1000,"?ork*",'Participant Responses'!$B$2:$B$1000,"&lt;=4")</f>
        <v>0</v>
      </c>
      <c r="F179" s="4">
        <f>COUNTIFS('Participant Responses'!$AC$2:$AC$1000,"?ork*",'Participant Responses'!$B$2:$B$1000,"&gt;=5",'Participant Responses'!$B$2:$B$1000,"&lt;=14")</f>
        <v>0</v>
      </c>
      <c r="G179" s="4">
        <f>COUNTIFS('Participant Responses'!$AC$2:$AC$1000,"?ork*",'Participant Responses'!$B$2:$B$1000,"&gt;=15",'Participant Responses'!$B$2:$B$1000,"&lt;=19")</f>
        <v>0</v>
      </c>
      <c r="H179" s="4">
        <f>COUNTIFS('Participant Responses'!$AC$2:$AC$1000,"?ork*",'Participant Responses'!$B$2:$B$1000,"&gt;=20",'Participant Responses'!$B$2:$B$1000,"&lt;=24")</f>
        <v>0</v>
      </c>
      <c r="I179" s="4">
        <f>COUNTIFS('Participant Responses'!$AC$2:$AC$1000,"?ork*",'Participant Responses'!$B$2:$B$1000,"&gt;=25",'Participant Responses'!$B$2:$B$1000,"&lt;=44")</f>
        <v>0</v>
      </c>
      <c r="J179" s="4">
        <f>COUNTIFS('Participant Responses'!$AC$2:$AC$1000,"?ork*",'Participant Responses'!$B$2:$B$1000,"&gt;=45",'Participant Responses'!$B$2:$B$1000,"&lt;=54")</f>
        <v>0</v>
      </c>
      <c r="K179" s="4">
        <f>COUNTIFS('Participant Responses'!$AC$2:$AC$1000,"?ork*",'Participant Responses'!$B$2:$B$1000,"&gt;=55",'Participant Responses'!$B$2:$B$1000,"&lt;=64")</f>
        <v>0</v>
      </c>
      <c r="L179" s="4">
        <f>COUNTIFS('Participant Responses'!$AC$2:$AC$1000,"?ork*",'Participant Responses'!$B$2:$B$1000,"&gt;=65",'Participant Responses'!$B$2:$B$1000,"&lt;=74")</f>
        <v>0</v>
      </c>
      <c r="M179" s="4">
        <f>COUNTIFS('Participant Responses'!$AC$2:$AC$1000,"?ork*",'Participant Responses'!$B$2:$B$1000,"&gt;=75",'Participant Responses'!$B$2:$B$1000,"&lt;=84")</f>
        <v>0</v>
      </c>
      <c r="N179" s="4">
        <f>COUNTIFS('Participant Responses'!$AC$2:$AC$1000,"?ork*",'Participant Responses'!$B$2:$B$1000,"&gt;85")</f>
        <v>0</v>
      </c>
    </row>
    <row r="180" spans="1:14">
      <c r="A180" s="3" t="s">
        <v>100</v>
      </c>
      <c r="B180" s="4">
        <f>COUNTIF('Participant Responses'!$AC$2:$AC$1000,"?nowledge")</f>
        <v>0</v>
      </c>
      <c r="C180" s="4">
        <f>COUNTIF('Participant Responses'!$AD$2:$AD$1000,"?nowledge")</f>
        <v>0</v>
      </c>
      <c r="D180" s="4">
        <f>COUNTIF('Participant Responses'!$AE$2:$AE$1000,"?nowledge")</f>
        <v>0</v>
      </c>
      <c r="E180" s="4">
        <f>COUNTIFS('Participant Responses'!$AC$2:$AC$1000,"?nowledge",'Participant Responses'!$B$2:$B$1000,"&lt;=4")</f>
        <v>0</v>
      </c>
      <c r="F180" s="4">
        <f>COUNTIFS('Participant Responses'!$AC$2:$AC$1000,"?nowledge",'Participant Responses'!$B$2:$B$1000,"&gt;=5",'Participant Responses'!$B$2:$B$1000,"&lt;=14")</f>
        <v>0</v>
      </c>
      <c r="G180" s="4">
        <f>COUNTIFS('Participant Responses'!$AC$2:$AC$1000,"?nowledge",'Participant Responses'!$B$2:$B$1000,"&gt;=15",'Participant Responses'!$B$2:$B$1000,"&lt;=19")</f>
        <v>0</v>
      </c>
      <c r="H180" s="4">
        <f>COUNTIFS('Participant Responses'!$AC$2:$AC$1000,"?nowledge",'Participant Responses'!$B$2:$B$1000,"&gt;=20",'Participant Responses'!$B$2:$B$1000,"&lt;=24")</f>
        <v>0</v>
      </c>
      <c r="I180" s="4">
        <f>COUNTIFS('Participant Responses'!$AC$2:$AC$1000,"?nowledge",'Participant Responses'!$B$2:$B$1000,"&gt;=25",'Participant Responses'!$B$2:$B$1000,"&lt;=44")</f>
        <v>0</v>
      </c>
      <c r="J180" s="4">
        <f>COUNTIFS('Participant Responses'!$AC$2:$AC$1000,"?nowledge",'Participant Responses'!$B$2:$B$1000,"&gt;=45",'Participant Responses'!$B$2:$B$1000,"&lt;=54")</f>
        <v>0</v>
      </c>
      <c r="K180" s="4">
        <f>COUNTIFS('Participant Responses'!$AC$2:$AC$1000,"?nowledge",'Participant Responses'!$B$2:$B$1000,"&gt;=55",'Participant Responses'!$B$2:$B$1000,"&lt;=64")</f>
        <v>0</v>
      </c>
      <c r="L180" s="4">
        <f>COUNTIFS('Participant Responses'!$AC$2:$AC$1000,"?nowledge",'Participant Responses'!$B$2:$B$1000,"&gt;=65",'Participant Responses'!$B$2:$B$1000,"&lt;=74")</f>
        <v>0</v>
      </c>
      <c r="M180" s="4">
        <f>COUNTIFS('Participant Responses'!$AC$2:$AC$1000,"?nowledge",'Participant Responses'!$B$2:$B$1000,"&gt;=75",'Participant Responses'!$B$2:$B$1000,"&lt;=84")</f>
        <v>0</v>
      </c>
      <c r="N180" s="4">
        <f>COUNTIFS('Participant Responses'!$AC$2:$AC$1000,"?nowledge",'Participant Responses'!$B$2:$B$1000,"&gt;85")</f>
        <v>0</v>
      </c>
    </row>
    <row r="181" spans="1:14">
      <c r="A181" s="3" t="s">
        <v>101</v>
      </c>
      <c r="B181" s="4">
        <f>COUNTIF('Participant Responses'!$AC$2:$AC$1000,"?ation")</f>
        <v>0</v>
      </c>
      <c r="C181" s="4">
        <f>COUNTIF('Participant Responses'!$AD$2:$AD$1000,"?ation")</f>
        <v>0</v>
      </c>
      <c r="D181" s="4">
        <f>COUNTIF('Participant Responses'!$AE$2:$AE$1000,"?ation")</f>
        <v>0</v>
      </c>
      <c r="E181" s="4">
        <f>COUNTIFS('Participant Responses'!$AC$2:$AC$1000,"?ation",'Participant Responses'!$B$2:$B$1000,"&lt;=4")</f>
        <v>0</v>
      </c>
      <c r="F181" s="4">
        <f>COUNTIFS('Participant Responses'!$AC$2:$AC$1000,"?ation",'Participant Responses'!$B$2:$B$1000,"&gt;=5",'Participant Responses'!$B$2:$B$1000,"&lt;=14")</f>
        <v>0</v>
      </c>
      <c r="G181" s="4">
        <f>COUNTIFS('Participant Responses'!$AC$2:$AC$1000,"?ation",'Participant Responses'!$B$2:$B$1000,"&gt;=15",'Participant Responses'!$B$2:$B$1000,"&lt;=19")</f>
        <v>0</v>
      </c>
      <c r="H181" s="4">
        <f>COUNTIFS('Participant Responses'!$AC$2:$AC$1000,"?ation",'Participant Responses'!$B$2:$B$1000,"&gt;=20",'Participant Responses'!$B$2:$B$1000,"&lt;=24")</f>
        <v>0</v>
      </c>
      <c r="I181" s="4">
        <f>COUNTIFS('Participant Responses'!$AC$2:$AC$1000,"?ation",'Participant Responses'!$B$2:$B$1000,"&gt;=25",'Participant Responses'!$B$2:$B$1000,"&lt;=44")</f>
        <v>0</v>
      </c>
      <c r="J181" s="4">
        <f>COUNTIFS('Participant Responses'!$AC$2:$AC$1000,"?ation",'Participant Responses'!$B$2:$B$1000,"&gt;=45",'Participant Responses'!$B$2:$B$1000,"&lt;=54")</f>
        <v>0</v>
      </c>
      <c r="K181" s="4">
        <f>COUNTIFS('Participant Responses'!$AC$2:$AC$1000,"?ation",'Participant Responses'!$B$2:$B$1000,"&gt;=55",'Participant Responses'!$B$2:$B$1000,"&lt;=64")</f>
        <v>0</v>
      </c>
      <c r="L181" s="4">
        <f>COUNTIFS('Participant Responses'!$AC$2:$AC$1000,"?ation",'Participant Responses'!$B$2:$B$1000,"&gt;=65",'Participant Responses'!$B$2:$B$1000,"&lt;=74")</f>
        <v>0</v>
      </c>
      <c r="M181" s="4">
        <f>COUNTIFS('Participant Responses'!$AC$2:$AC$1000,"?ation",'Participant Responses'!$B$2:$B$1000,"&gt;=75",'Participant Responses'!$B$2:$B$1000,"&lt;=84")</f>
        <v>0</v>
      </c>
      <c r="N181" s="4">
        <f>COUNTIFS('Participant Responses'!$AC$2:$AC$1000,"?ation",'Participant Responses'!$B$2:$B$1000,"&gt;85")</f>
        <v>0</v>
      </c>
    </row>
    <row r="182" spans="1:14">
      <c r="A182" s="3" t="s">
        <v>102</v>
      </c>
      <c r="B182" s="4">
        <f>COUNTIF('Participant Responses'!$AC$2:$AC$1000,"?ead")</f>
        <v>0</v>
      </c>
      <c r="C182" s="4">
        <f>COUNTIF('Participant Responses'!$AD$2:$AD$1000,"?ead")</f>
        <v>0</v>
      </c>
      <c r="D182" s="4">
        <f>COUNTIF('Participant Responses'!$AE$2:$AE$1000,"?ead")</f>
        <v>0</v>
      </c>
      <c r="E182" s="4">
        <f>COUNTIFS('Participant Responses'!$AC$2:$AC$1000,"?ead",'Participant Responses'!$B$2:$B$1000,"&lt;=4")</f>
        <v>0</v>
      </c>
      <c r="F182" s="4">
        <f>COUNTIFS('Participant Responses'!$AC$2:$AC$1000,"?ead",'Participant Responses'!$B$2:$B$1000,"&gt;=5",'Participant Responses'!$B$2:$B$1000,"&lt;=14")</f>
        <v>0</v>
      </c>
      <c r="G182" s="4">
        <f>COUNTIFS('Participant Responses'!$AC$2:$AC$1000,"?ead",'Participant Responses'!$B$2:$B$1000,"&gt;=15",'Participant Responses'!$B$2:$B$1000,"&lt;=19")</f>
        <v>0</v>
      </c>
      <c r="H182" s="4">
        <f>COUNTIFS('Participant Responses'!$AC$2:$AC$1000,"?ead",'Participant Responses'!$B$2:$B$1000,"&gt;=20",'Participant Responses'!$B$2:$B$1000,"&lt;=24")</f>
        <v>0</v>
      </c>
      <c r="I182" s="4">
        <f>COUNTIFS('Participant Responses'!$AC$2:$AC$1000,"?ead",'Participant Responses'!$B$2:$B$1000,"&gt;=25",'Participant Responses'!$B$2:$B$1000,"&lt;=44")</f>
        <v>0</v>
      </c>
      <c r="J182" s="4">
        <f>COUNTIFS('Participant Responses'!$AC$2:$AC$1000,"?ead",'Participant Responses'!$B$2:$B$1000,"&gt;=45",'Participant Responses'!$B$2:$B$1000,"&lt;=54")</f>
        <v>0</v>
      </c>
      <c r="K182" s="4">
        <f>COUNTIFS('Participant Responses'!$AC$2:$AC$1000,"?ead",'Participant Responses'!$B$2:$B$1000,"&gt;=55",'Participant Responses'!$B$2:$B$1000,"&lt;=64")</f>
        <v>0</v>
      </c>
      <c r="L182" s="4">
        <f>COUNTIFS('Participant Responses'!$AC$2:$AC$1000,"?ead",'Participant Responses'!$B$2:$B$1000,"&gt;=65",'Participant Responses'!$B$2:$B$1000,"&lt;=74")</f>
        <v>0</v>
      </c>
      <c r="M182" s="4">
        <f>COUNTIFS('Participant Responses'!$AC$2:$AC$1000,"?ead",'Participant Responses'!$B$2:$B$1000,"&gt;=75",'Participant Responses'!$B$2:$B$1000,"&lt;=84")</f>
        <v>0</v>
      </c>
      <c r="N182" s="4">
        <f>COUNTIFS('Participant Responses'!$AC$2:$AC$1000,"?ead",'Participant Responses'!$B$2:$B$1000,"&gt;85")</f>
        <v>0</v>
      </c>
    </row>
    <row r="183" spans="1:14">
      <c r="A183" s="3" t="s">
        <v>103</v>
      </c>
      <c r="B183" s="4">
        <f>COUNTIF('Participant Responses'!$AC$2:$AC$1000,"?nderstand")</f>
        <v>0</v>
      </c>
      <c r="C183" s="4">
        <f>COUNTIF('Participant Responses'!$AD$2:$AD$1000,"?nderstand")</f>
        <v>0</v>
      </c>
      <c r="D183" s="4">
        <f>COUNTIF('Participant Responses'!$AE$2:$AE$1000,"?nderstand")</f>
        <v>0</v>
      </c>
      <c r="E183" s="4">
        <f>COUNTIFS('Participant Responses'!$AC$2:$AC$1000,"?nderstand",'Participant Responses'!$B$2:$B$1000,"&lt;=4")</f>
        <v>0</v>
      </c>
      <c r="F183" s="4">
        <f>COUNTIFS('Participant Responses'!$AC$2:$AC$1000,"?nderstand",'Participant Responses'!$B$2:$B$1000,"&gt;=5",'Participant Responses'!$B$2:$B$1000,"&lt;=14")</f>
        <v>0</v>
      </c>
      <c r="G183" s="4">
        <f>COUNTIFS('Participant Responses'!$AC$2:$AC$1000,"?nderstand",'Participant Responses'!$B$2:$B$1000,"&gt;=15",'Participant Responses'!$B$2:$B$1000,"&lt;=19")</f>
        <v>0</v>
      </c>
      <c r="H183" s="4">
        <f>COUNTIFS('Participant Responses'!$AC$2:$AC$1000,"?nderstand",'Participant Responses'!$B$2:$B$1000,"&gt;=20",'Participant Responses'!$B$2:$B$1000,"&lt;=24")</f>
        <v>0</v>
      </c>
      <c r="I183" s="4">
        <f>COUNTIFS('Participant Responses'!$AC$2:$AC$1000,"?nderstand",'Participant Responses'!$B$2:$B$1000,"&gt;=25",'Participant Responses'!$B$2:$B$1000,"&lt;=44")</f>
        <v>0</v>
      </c>
      <c r="J183" s="4">
        <f>COUNTIFS('Participant Responses'!$AC$2:$AC$1000,"?nderstand",'Participant Responses'!$B$2:$B$1000,"&gt;=45",'Participant Responses'!$B$2:$B$1000,"&lt;=54")</f>
        <v>0</v>
      </c>
      <c r="K183" s="4">
        <f>COUNTIFS('Participant Responses'!$AC$2:$AC$1000,"?nderstand",'Participant Responses'!$B$2:$B$1000,"&gt;=55",'Participant Responses'!$B$2:$B$1000,"&lt;=64")</f>
        <v>0</v>
      </c>
      <c r="L183" s="4">
        <f>COUNTIFS('Participant Responses'!$AC$2:$AC$1000,"?nderstand",'Participant Responses'!$B$2:$B$1000,"&gt;=65",'Participant Responses'!$B$2:$B$1000,"&lt;=74")</f>
        <v>0</v>
      </c>
      <c r="M183" s="4">
        <f>COUNTIFS('Participant Responses'!$AC$2:$AC$1000,"?nderstand",'Participant Responses'!$B$2:$B$1000,"&gt;=75",'Participant Responses'!$B$2:$B$1000,"&lt;=84")</f>
        <v>0</v>
      </c>
      <c r="N183" s="4">
        <f>COUNTIFS('Participant Responses'!$AC$2:$AC$1000,"?nderstand",'Participant Responses'!$B$2:$B$1000,"&gt;85")</f>
        <v>0</v>
      </c>
    </row>
    <row r="184" spans="1:14">
      <c r="A184" s="3" t="s">
        <v>104</v>
      </c>
      <c r="B184" s="4">
        <f>COUNTIF('Participant Responses'!$AC$2:$AC$1000,"?live")</f>
        <v>0</v>
      </c>
      <c r="C184" s="4">
        <f>COUNTIF('Participant Responses'!$AD$2:$AD$1000,"?live")</f>
        <v>0</v>
      </c>
      <c r="D184" s="4">
        <f>COUNTIF('Participant Responses'!$AE$2:$AE$1000,"?live")</f>
        <v>0</v>
      </c>
      <c r="E184" s="4">
        <f>COUNTIFS('Participant Responses'!$AC$2:$AC$1000,"?live",'Participant Responses'!$B$2:$B$1000,"&lt;=4")</f>
        <v>0</v>
      </c>
      <c r="F184" s="4">
        <f>COUNTIFS('Participant Responses'!$AC$2:$AC$1000,"?live",'Participant Responses'!$B$2:$B$1000,"&gt;=5",'Participant Responses'!$B$2:$B$1000,"&lt;=14")</f>
        <v>0</v>
      </c>
      <c r="G184" s="4">
        <f>COUNTIFS('Participant Responses'!$AC$2:$AC$1000,"?live",'Participant Responses'!$B$2:$B$1000,"&gt;=15",'Participant Responses'!$B$2:$B$1000,"&lt;=19")</f>
        <v>0</v>
      </c>
      <c r="H184" s="4">
        <f>COUNTIFS('Participant Responses'!$AC$2:$AC$1000,"?live",'Participant Responses'!$B$2:$B$1000,"&gt;=20",'Participant Responses'!$B$2:$B$1000,"&lt;=24")</f>
        <v>0</v>
      </c>
      <c r="I184" s="4">
        <f>COUNTIFS('Participant Responses'!$AC$2:$AC$1000,"?live",'Participant Responses'!$B$2:$B$1000,"&gt;=25",'Participant Responses'!$B$2:$B$1000,"&lt;=44")</f>
        <v>0</v>
      </c>
      <c r="J184" s="4">
        <f>COUNTIFS('Participant Responses'!$AC$2:$AC$1000,"?live",'Participant Responses'!$B$2:$B$1000,"&gt;=45",'Participant Responses'!$B$2:$B$1000,"&lt;=54")</f>
        <v>0</v>
      </c>
      <c r="K184" s="4">
        <f>COUNTIFS('Participant Responses'!$AC$2:$AC$1000,"?live",'Participant Responses'!$B$2:$B$1000,"&gt;=55",'Participant Responses'!$B$2:$B$1000,"&lt;=64")</f>
        <v>0</v>
      </c>
      <c r="L184" s="4">
        <f>COUNTIFS('Participant Responses'!$AC$2:$AC$1000,"?live",'Participant Responses'!$B$2:$B$1000,"&gt;=65",'Participant Responses'!$B$2:$B$1000,"&lt;=74")</f>
        <v>0</v>
      </c>
      <c r="M184" s="4">
        <f>COUNTIFS('Participant Responses'!$AC$2:$AC$1000,"?live",'Participant Responses'!$B$2:$B$1000,"&gt;=75",'Participant Responses'!$B$2:$B$1000,"&lt;=84")</f>
        <v>0</v>
      </c>
      <c r="N184" s="4">
        <f>COUNTIFS('Participant Responses'!$AC$2:$AC$1000,"?live",'Participant Responses'!$B$2:$B$1000,"&gt;85")</f>
        <v>0</v>
      </c>
    </row>
    <row r="185" spans="1:14">
      <c r="A185" s="3" t="s">
        <v>76</v>
      </c>
      <c r="B185" s="4">
        <f>COUNTIF('Participant Responses'!$AC$2:$AC$1000,"?ther")</f>
        <v>0</v>
      </c>
      <c r="C185" s="4">
        <f>COUNTIF('Participant Responses'!$AD$2:$AD$1000,"?ther")</f>
        <v>0</v>
      </c>
      <c r="D185" s="4">
        <f>COUNTIF('Participant Responses'!$AE$2:$AE$1000,"?ther")</f>
        <v>0</v>
      </c>
      <c r="E185" s="4">
        <f>COUNTIFS('Participant Responses'!$AC$2:$AC$1000,"?ther",'Participant Responses'!$B$2:$B$1000,"&lt;=4")</f>
        <v>0</v>
      </c>
      <c r="F185" s="4">
        <f>COUNTIFS('Participant Responses'!$AC$2:$AC$1000,"?ther",'Participant Responses'!$B$2:$B$1000,"&gt;=5",'Participant Responses'!$B$2:$B$1000,"&lt;=14")</f>
        <v>0</v>
      </c>
      <c r="G185" s="4">
        <f>COUNTIFS('Participant Responses'!$AC$2:$AC$1000,"?ther",'Participant Responses'!$B$2:$B$1000,"&gt;=15",'Participant Responses'!$B$2:$B$1000,"&lt;=19")</f>
        <v>0</v>
      </c>
      <c r="H185" s="4">
        <f>COUNTIFS('Participant Responses'!$AC$2:$AC$1000,"?ther",'Participant Responses'!$B$2:$B$1000,"&gt;=20",'Participant Responses'!$B$2:$B$1000,"&lt;=24")</f>
        <v>0</v>
      </c>
      <c r="I185" s="4">
        <f>COUNTIFS('Participant Responses'!$AC$2:$AC$1000,"?ther",'Participant Responses'!$B$2:$B$1000,"&gt;=25",'Participant Responses'!$B$2:$B$1000,"&lt;=44")</f>
        <v>0</v>
      </c>
      <c r="J185" s="4">
        <f>COUNTIFS('Participant Responses'!$AC$2:$AC$1000,"?ther",'Participant Responses'!$B$2:$B$1000,"&gt;=45",'Participant Responses'!$B$2:$B$1000,"&lt;=54")</f>
        <v>0</v>
      </c>
      <c r="K185" s="4">
        <f>COUNTIFS('Participant Responses'!$AC$2:$AC$1000,"?ther",'Participant Responses'!$B$2:$B$1000,"&gt;=55",'Participant Responses'!$B$2:$B$1000,"&lt;=64")</f>
        <v>0</v>
      </c>
      <c r="L185" s="4">
        <f>COUNTIFS('Participant Responses'!$AC$2:$AC$1000,"?ther",'Participant Responses'!$B$2:$B$1000,"&gt;=65",'Participant Responses'!$B$2:$B$1000,"&lt;=74")</f>
        <v>0</v>
      </c>
      <c r="M185" s="4">
        <f>COUNTIFS('Participant Responses'!$AC$2:$AC$1000,"?ther",'Participant Responses'!$B$2:$B$1000,"&gt;=75",'Participant Responses'!$B$2:$B$1000,"&lt;=84")</f>
        <v>0</v>
      </c>
      <c r="N185" s="4">
        <f>COUNTIFS('Participant Responses'!$AC$2:$AC$1000,"?ther",'Participant Responses'!$B$2:$B$1000,"&gt;85")</f>
        <v>0</v>
      </c>
    </row>
  </sheetData>
  <mergeCells count="48">
    <mergeCell ref="C20:D20"/>
    <mergeCell ref="E20:N20"/>
    <mergeCell ref="C28:D28"/>
    <mergeCell ref="E28:N28"/>
    <mergeCell ref="C35:D35"/>
    <mergeCell ref="E35:N35"/>
    <mergeCell ref="C40:D40"/>
    <mergeCell ref="E40:N40"/>
    <mergeCell ref="C51:D51"/>
    <mergeCell ref="E51:N51"/>
    <mergeCell ref="C62:D62"/>
    <mergeCell ref="E62:N62"/>
    <mergeCell ref="C70:D70"/>
    <mergeCell ref="E70:N70"/>
    <mergeCell ref="A78:N78"/>
    <mergeCell ref="A79:N79"/>
    <mergeCell ref="C81:D81"/>
    <mergeCell ref="E81:N81"/>
    <mergeCell ref="C88:D88"/>
    <mergeCell ref="E88:N88"/>
    <mergeCell ref="C98:D98"/>
    <mergeCell ref="E98:N98"/>
    <mergeCell ref="A106:N106"/>
    <mergeCell ref="A107:N107"/>
    <mergeCell ref="C109:D109"/>
    <mergeCell ref="E109:N109"/>
    <mergeCell ref="A117:N117"/>
    <mergeCell ref="A118:N118"/>
    <mergeCell ref="C120:D120"/>
    <mergeCell ref="E120:N120"/>
    <mergeCell ref="A128:N128"/>
    <mergeCell ref="A129:N129"/>
    <mergeCell ref="C131:D131"/>
    <mergeCell ref="E131:N131"/>
    <mergeCell ref="A139:N139"/>
    <mergeCell ref="A140:N140"/>
    <mergeCell ref="C142:D142"/>
    <mergeCell ref="E142:N142"/>
    <mergeCell ref="A150:N150"/>
    <mergeCell ref="C164:D164"/>
    <mergeCell ref="E164:N164"/>
    <mergeCell ref="E170:N170"/>
    <mergeCell ref="B170:D170"/>
    <mergeCell ref="A151:N151"/>
    <mergeCell ref="C153:D153"/>
    <mergeCell ref="E153:N153"/>
    <mergeCell ref="A161:N161"/>
    <mergeCell ref="A162:N162"/>
  </mergeCells>
  <phoneticPr fontId="3" type="noConversion"/>
  <dataValidations count="1">
    <dataValidation allowBlank="1" showInputMessage="1" showErrorMessage="1" promptTitle="Enter total number" prompt="Type the number of participants that completed the survey and that were entered into rows on the Participant Responses worksheet" sqref="B1"/>
  </dataValidations>
  <pageMargins left="0.25" right="0.25" top="0.75" bottom="0.75" header="0.3" footer="0.3"/>
  <pageSetup orientation="portrait" horizontalDpi="4294967292" verticalDpi="4294967292"/>
  <headerFooter>
    <oddHeader>&amp;CParticipant Response Totals for _x000D_Language Status Assessment Survey</oddHead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topLeftCell="A421" workbookViewId="0">
      <selection activeCell="G433" sqref="G433"/>
    </sheetView>
  </sheetViews>
  <sheetFormatPr baseColWidth="10" defaultRowHeight="15" x14ac:dyDescent="0"/>
  <sheetData/>
  <phoneticPr fontId="3" type="noConversion"/>
  <pageMargins left="0.7" right="0.7" top="0.75" bottom="0.75" header="0.3" footer="0.3"/>
  <pageSetup orientation="portrait" horizontalDpi="4294967292" verticalDpi="4294967292"/>
  <headerFooter>
    <oddHeader>&amp;C"Language Status Assessment Survey" Participant Responses_x000D_</oddHeader>
  </headerFooter>
  <drawing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election activeCell="I319" sqref="I319"/>
    </sheetView>
  </sheetViews>
  <sheetFormatPr baseColWidth="10" defaultRowHeight="15" x14ac:dyDescent="0"/>
  <sheetData/>
  <phoneticPr fontId="3" type="noConversion"/>
  <pageMargins left="0.7" right="0.7" top="0.75" bottom="0.75" header="0.3" footer="0.3"/>
  <pageSetup orientation="landscape" horizontalDpi="4294967292" verticalDpi="4294967292"/>
  <headerFooter>
    <oddHeader>&amp;C"Language Status Assessment Survey" Participant Responses_x000D_By Age</oddHeader>
  </headerFooter>
  <drawing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Participant Responses</vt:lpstr>
      <vt:lpstr>Response Totals</vt:lpstr>
      <vt:lpstr>Chart Responses (SIMPLE)</vt:lpstr>
      <vt:lpstr>Chart Responses (DETAIL)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Franks</dc:creator>
  <cp:lastModifiedBy>Scott Franks</cp:lastModifiedBy>
  <dcterms:created xsi:type="dcterms:W3CDTF">2013-04-19T22:44:27Z</dcterms:created>
  <dcterms:modified xsi:type="dcterms:W3CDTF">2013-04-29T02:41:28Z</dcterms:modified>
</cp:coreProperties>
</file>